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8_Dokumenty_Stowarzyszenia_(Walne, Zarząd, itp.)\00_Walne\2023\02_19_05_2023\"/>
    </mc:Choice>
  </mc:AlternateContent>
  <bookViews>
    <workbookView xWindow="0" yWindow="0" windowWidth="23040" windowHeight="9192" firstSheet="3"/>
  </bookViews>
  <sheets>
    <sheet name="Sprawozdanie z realizacji LSR" sheetId="1" r:id="rId1"/>
    <sheet name="Finansowy postęp" sheetId="2" r:id="rId2"/>
    <sheet name="Rzeczowy postęp" sheetId="3" r:id="rId3"/>
    <sheet name="Wskaźniki obowiązkowe PROW" sheetId="4" r:id="rId4"/>
    <sheet name="Wskaźniki obowiązkowe PO RYBY" sheetId="5" r:id="rId5"/>
    <sheet name="Ewaluacja wewnętrzna" sheetId="6" r:id="rId6"/>
    <sheet name="Kontrole" sheetId="7" r:id="rId7"/>
  </sheets>
  <definedNames>
    <definedName name="_xlnm._FilterDatabase" localSheetId="2" hidden="1">'Rzeczowy postęp'!$A$4:$O$46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5" i="3" l="1"/>
  <c r="I44" i="4" l="1"/>
  <c r="H44" i="4"/>
  <c r="H43" i="4"/>
  <c r="L8" i="2" l="1"/>
  <c r="K13" i="2" l="1"/>
  <c r="O22" i="3" l="1"/>
  <c r="N22" i="3"/>
  <c r="O21" i="3"/>
  <c r="N21" i="3"/>
  <c r="O20" i="3"/>
  <c r="N20" i="3"/>
  <c r="N19" i="3"/>
  <c r="O19" i="3"/>
  <c r="H22" i="3" l="1"/>
  <c r="H21" i="3"/>
  <c r="H19" i="3"/>
  <c r="H110" i="4" l="1"/>
  <c r="H109" i="4"/>
  <c r="H108" i="4"/>
  <c r="D10" i="3" l="1"/>
  <c r="D12" i="3" s="1"/>
  <c r="D13" i="3" s="1"/>
  <c r="D15" i="3" s="1"/>
  <c r="D19" i="3" s="1"/>
  <c r="K8" i="3"/>
  <c r="D22" i="3" l="1"/>
  <c r="D23" i="3" s="1"/>
  <c r="D24" i="3" s="1"/>
  <c r="D21" i="3"/>
  <c r="D36" i="3"/>
  <c r="D37" i="3"/>
  <c r="D28" i="3"/>
  <c r="N46" i="3" l="1"/>
  <c r="N45" i="3"/>
  <c r="N24" i="3"/>
  <c r="N23" i="3"/>
  <c r="O5" i="3"/>
  <c r="N5" i="3"/>
  <c r="H6" i="3"/>
  <c r="H5" i="3"/>
  <c r="O11" i="3"/>
  <c r="N11" i="3"/>
  <c r="O10" i="3"/>
  <c r="N10" i="3"/>
  <c r="H10" i="3"/>
  <c r="N40" i="3"/>
  <c r="O40" i="3" s="1"/>
  <c r="H40" i="3"/>
  <c r="H29" i="3"/>
  <c r="O14" i="3"/>
  <c r="N14" i="3"/>
  <c r="N12" i="3"/>
  <c r="H12" i="3"/>
  <c r="H7" i="3"/>
  <c r="N8" i="3"/>
  <c r="O8" i="3" s="1"/>
  <c r="N7" i="3"/>
  <c r="O7" i="3" s="1"/>
  <c r="O44" i="3"/>
  <c r="N44" i="3"/>
  <c r="H44" i="3"/>
  <c r="O32" i="3"/>
  <c r="N32" i="3"/>
  <c r="O31" i="3"/>
  <c r="N31" i="3"/>
  <c r="O30" i="3"/>
  <c r="N30" i="3"/>
  <c r="H30" i="3"/>
  <c r="O39" i="3"/>
  <c r="N39" i="3"/>
  <c r="O38" i="3"/>
  <c r="N38" i="3"/>
  <c r="H39" i="3"/>
  <c r="H38" i="3"/>
  <c r="H42" i="3"/>
  <c r="H41" i="3"/>
  <c r="O42" i="3"/>
  <c r="N42" i="3"/>
  <c r="N41" i="3"/>
  <c r="O41" i="3"/>
  <c r="N33" i="3"/>
  <c r="N37" i="3"/>
  <c r="N35" i="3"/>
  <c r="O37" i="3"/>
  <c r="O35" i="3"/>
  <c r="H37" i="3"/>
  <c r="H35" i="3"/>
  <c r="H36" i="3"/>
  <c r="O26" i="3"/>
  <c r="O25" i="3"/>
  <c r="N26" i="3"/>
  <c r="H26" i="3"/>
  <c r="H25" i="3"/>
  <c r="O28" i="3"/>
  <c r="O27" i="3"/>
  <c r="N28" i="3"/>
  <c r="N27" i="3"/>
  <c r="H28" i="3"/>
  <c r="H27" i="3"/>
  <c r="O18" i="3"/>
  <c r="N18" i="3"/>
  <c r="O17" i="3"/>
  <c r="N17" i="3"/>
  <c r="O16" i="3"/>
  <c r="N16" i="3"/>
  <c r="O15" i="3"/>
  <c r="N15" i="3"/>
  <c r="H15" i="3"/>
  <c r="N47" i="2" l="1"/>
  <c r="N45" i="2"/>
  <c r="L47" i="2"/>
  <c r="L45" i="2"/>
  <c r="O43" i="2"/>
  <c r="M43" i="2"/>
  <c r="N44" i="2"/>
  <c r="L44" i="2"/>
  <c r="K44" i="2"/>
  <c r="O41" i="2"/>
  <c r="N42" i="2"/>
  <c r="M41" i="2"/>
  <c r="L42" i="2"/>
  <c r="K42" i="2"/>
  <c r="O39" i="2"/>
  <c r="N40" i="2"/>
  <c r="M39" i="2"/>
  <c r="L40" i="2"/>
  <c r="O37" i="2"/>
  <c r="N38" i="2"/>
  <c r="M37" i="2"/>
  <c r="L38" i="2"/>
  <c r="K38" i="2"/>
  <c r="K40" i="2"/>
  <c r="O35" i="2"/>
  <c r="N36" i="2"/>
  <c r="M35" i="2"/>
  <c r="L36" i="2"/>
  <c r="K36" i="2"/>
  <c r="O33" i="2"/>
  <c r="N34" i="2"/>
  <c r="M33" i="2"/>
  <c r="L34" i="2"/>
  <c r="K33" i="2"/>
  <c r="O31" i="2"/>
  <c r="N32" i="2"/>
  <c r="M31" i="2"/>
  <c r="L32" i="2"/>
  <c r="K31" i="2"/>
  <c r="O29" i="2"/>
  <c r="N30" i="2"/>
  <c r="M29" i="2"/>
  <c r="L30" i="2"/>
  <c r="K30" i="2"/>
  <c r="O27" i="2"/>
  <c r="M27" i="2"/>
  <c r="O25" i="2"/>
  <c r="M25" i="2"/>
  <c r="O23" i="2"/>
  <c r="N24" i="2"/>
  <c r="M23" i="2"/>
  <c r="L24" i="2"/>
  <c r="K23" i="2"/>
  <c r="O21" i="2"/>
  <c r="N22" i="2"/>
  <c r="M21" i="2"/>
  <c r="L22" i="2"/>
  <c r="K22" i="2"/>
  <c r="O19" i="2"/>
  <c r="N20" i="2"/>
  <c r="M19" i="2"/>
  <c r="L20" i="2"/>
  <c r="K20" i="2"/>
  <c r="N18" i="2"/>
  <c r="O15" i="2"/>
  <c r="N16" i="2"/>
  <c r="M15" i="2"/>
  <c r="L16" i="2"/>
  <c r="K16" i="2"/>
  <c r="N14" i="2"/>
  <c r="M13" i="2"/>
  <c r="L14" i="2"/>
  <c r="O13" i="2"/>
  <c r="O11" i="2"/>
  <c r="M11" i="2"/>
  <c r="N12" i="2"/>
  <c r="L12" i="2"/>
  <c r="K11" i="2"/>
  <c r="O9" i="2"/>
  <c r="M9" i="2"/>
  <c r="O7" i="2"/>
  <c r="M7" i="2"/>
  <c r="N10" i="2"/>
  <c r="L10" i="2"/>
  <c r="K9" i="2"/>
  <c r="N8" i="2"/>
  <c r="K7" i="2"/>
  <c r="N28" i="2"/>
  <c r="L28" i="2"/>
  <c r="K28" i="2"/>
  <c r="N26" i="2"/>
  <c r="L26" i="2"/>
  <c r="K25" i="2"/>
  <c r="O17" i="2"/>
  <c r="K17" i="2"/>
  <c r="M17" i="2" s="1"/>
  <c r="L48" i="2" l="1"/>
  <c r="N48" i="2"/>
  <c r="N46" i="2"/>
  <c r="L46" i="2"/>
  <c r="F27" i="3"/>
  <c r="F28" i="3" s="1"/>
  <c r="E27" i="3"/>
  <c r="E28" i="3" s="1"/>
  <c r="A41" i="3"/>
  <c r="L21" i="3"/>
  <c r="L22" i="3" s="1"/>
  <c r="L23" i="3" s="1"/>
  <c r="L24" i="3" s="1"/>
  <c r="L25" i="3" s="1"/>
  <c r="L26" i="3" s="1"/>
  <c r="L27" i="3" s="1"/>
  <c r="L28" i="3" s="1"/>
  <c r="L29" i="3" s="1"/>
  <c r="L30" i="3" s="1"/>
  <c r="L31" i="3" s="1"/>
  <c r="L32" i="3" s="1"/>
  <c r="L33" i="3" s="1"/>
  <c r="L34" i="3" s="1"/>
  <c r="L35" i="3" s="1"/>
  <c r="L37" i="3" s="1"/>
  <c r="L38" i="3" s="1"/>
  <c r="L39" i="3" s="1"/>
  <c r="L40" i="3" s="1"/>
  <c r="L43" i="3" s="1"/>
  <c r="L44" i="3" s="1"/>
  <c r="L45" i="3" s="1"/>
  <c r="L46" i="3" s="1"/>
  <c r="B42" i="2"/>
  <c r="B39" i="2"/>
  <c r="G43" i="2"/>
  <c r="F43" i="2"/>
  <c r="G41" i="2"/>
  <c r="F41" i="2"/>
  <c r="G40" i="2"/>
  <c r="C42" i="2" s="1"/>
  <c r="F40" i="2"/>
  <c r="G39" i="2"/>
  <c r="F39" i="2"/>
  <c r="F23" i="2"/>
  <c r="H23" i="2" s="1"/>
  <c r="F25" i="2"/>
  <c r="G34" i="2"/>
  <c r="G29" i="2"/>
  <c r="F29" i="2"/>
  <c r="F34" i="2"/>
  <c r="G27" i="2"/>
  <c r="H27" i="2" s="1"/>
  <c r="F27" i="2"/>
  <c r="G28" i="2"/>
  <c r="F28" i="2"/>
  <c r="J23" i="2"/>
  <c r="J31" i="2" s="1"/>
  <c r="J33" i="2" s="1"/>
  <c r="G21" i="2"/>
  <c r="F21" i="2"/>
  <c r="G19" i="2"/>
  <c r="F19" i="2"/>
  <c r="J19" i="2"/>
  <c r="J21" i="2" s="1"/>
  <c r="J27" i="2" s="1"/>
  <c r="J29" i="2" s="1"/>
  <c r="J35" i="2" s="1"/>
  <c r="J37" i="2" s="1"/>
  <c r="J39" i="2" s="1"/>
  <c r="J41" i="2" s="1"/>
  <c r="J43" i="2" s="1"/>
  <c r="G18" i="2"/>
  <c r="F18" i="2"/>
  <c r="H17" i="2"/>
  <c r="G15" i="2"/>
  <c r="F15" i="2"/>
  <c r="B17" i="2" s="1"/>
  <c r="G13" i="2"/>
  <c r="F13" i="2"/>
  <c r="G9" i="2"/>
  <c r="H7" i="2" s="1"/>
  <c r="G7" i="2"/>
  <c r="F9" i="2"/>
  <c r="F7" i="2"/>
  <c r="B7" i="2" s="1"/>
  <c r="C39" i="2" l="1"/>
  <c r="D39" i="2" s="1"/>
  <c r="H19" i="2"/>
  <c r="C23" i="2"/>
  <c r="C7" i="2"/>
  <c r="D7" i="2" s="1"/>
  <c r="H29" i="2"/>
  <c r="B30" i="2"/>
  <c r="C30" i="2"/>
  <c r="B23" i="2"/>
  <c r="D23" i="2" s="1"/>
  <c r="C17" i="2"/>
  <c r="L41" i="3"/>
  <c r="L42" i="3" s="1"/>
  <c r="H41" i="2"/>
  <c r="H39" i="2"/>
  <c r="J25" i="2"/>
  <c r="H13" i="2"/>
</calcChain>
</file>

<file path=xl/sharedStrings.xml><?xml version="1.0" encoding="utf-8"?>
<sst xmlns="http://schemas.openxmlformats.org/spreadsheetml/2006/main" count="1078" uniqueCount="457">
  <si>
    <t>ROK</t>
  </si>
  <si>
    <t>Nazwa LGD</t>
  </si>
  <si>
    <t>Słowińska Grupa Rybacka</t>
  </si>
  <si>
    <t>Nr KRS</t>
  </si>
  <si>
    <t>0000337535</t>
  </si>
  <si>
    <t>Województwo</t>
  </si>
  <si>
    <t>pomorskie</t>
  </si>
  <si>
    <t>Dotyczy funduszy:</t>
  </si>
  <si>
    <t>EFRROW</t>
  </si>
  <si>
    <t>x</t>
  </si>
  <si>
    <t>EFMR</t>
  </si>
  <si>
    <t>LGD obowiązkowo wypełnia części 1, 2 oraz 6 i 7, a także w zależności od tego z jakich środków współfinansowana jest LSR części 3 i/lub 4a lub 4b i/lub 5.</t>
  </si>
  <si>
    <t>Sprawozdanie należy złożyć zarządowi województwa zgodnie z § 5 ust. 1 pkt 23 lit. c umowy ramowej.</t>
  </si>
  <si>
    <t>Część 1</t>
  </si>
  <si>
    <t>Finansowa realizacja celów oraz przedsięwzięć w LSR</t>
  </si>
  <si>
    <t>Cele ogólne</t>
  </si>
  <si>
    <t>Cele szczegółowe</t>
  </si>
  <si>
    <t>Przedsięwzięcia</t>
  </si>
  <si>
    <t>Nazwa</t>
  </si>
  <si>
    <t>Budżet w LSR [PLN/EUR]</t>
  </si>
  <si>
    <t>Realizacja budżetu [PLN/EUR]</t>
  </si>
  <si>
    <t>Realizacja budżetu [%]</t>
  </si>
  <si>
    <t>Program / fundusz</t>
  </si>
  <si>
    <t>Pomoc przyznana</t>
  </si>
  <si>
    <t>Pomoc wypłacona</t>
  </si>
  <si>
    <t>RAZEM</t>
  </si>
  <si>
    <t>X</t>
  </si>
  <si>
    <t xml:space="preserve">w tym PROW 2014 - 2020 </t>
  </si>
  <si>
    <t>PROW</t>
  </si>
  <si>
    <t>1.1.3. Koncepcje inteligentnych wiosek</t>
  </si>
  <si>
    <t>1.1. Wspieranie aktywności mieszkańców oraz przeciwdziałanie wykluczeniu</t>
  </si>
  <si>
    <t xml:space="preserve">1.2.1. Popularyzacja dziedzictwa lokalnego </t>
  </si>
  <si>
    <t>1.2.2.  Promowanie i zachowanie rybackiego charakteru obszaru</t>
  </si>
  <si>
    <t>RYBY</t>
  </si>
  <si>
    <t>1.2. Zachowanie dziedzictwa i kształtowanie tożsamości lokalnej</t>
  </si>
  <si>
    <t>1.3. Rozwój infrastruktury społecznej oraz kompleksowe zagospodarowanie przestrzeni publicznej</t>
  </si>
  <si>
    <t>1.4.1.  Koszty bieżące i animacja</t>
  </si>
  <si>
    <t>1.4.2. Promowanie dziedzictwa rybackiego</t>
  </si>
  <si>
    <t xml:space="preserve">1.4. Wzmacnianie trójsektorowej współpracy w ramach partnerstwa lokalnego  </t>
  </si>
  <si>
    <t>1. Atrakcyjne miejsce zamieszkania i pobytu</t>
  </si>
  <si>
    <t>2.1.1. Podejmowanie działalności gospodarczej w zakresie usług dla lokalnej społeczności</t>
  </si>
  <si>
    <t>2.1.2.    Rozwijanie działalności gospodarczej na obszarze</t>
  </si>
  <si>
    <t>2.1. Tworzenie i rozwój działalności, w szczególności opartych o zasoby, kulturę i specyfikę obszaru</t>
  </si>
  <si>
    <t>2.2. Zachowanie stanu środowiska naturalnego</t>
  </si>
  <si>
    <t>2.3.2.          Rozwój kompleksowej oferty turystycznej</t>
  </si>
  <si>
    <t>2.3.3. Podejmowanie działalności gospodarczej w zakresie turystyki, z wykorzystaniem kulturowych i przyrodniczych zasobów lokalnych</t>
  </si>
  <si>
    <t>2.3.4. Podejmowanie lub rozwój działalności gospodarczej związanej z wodnym potencjałem obszaru</t>
  </si>
  <si>
    <t>2.3. Zwiększenie atrakcyjności i różnorodności turystycznej obszaru</t>
  </si>
  <si>
    <t>2. Efektywne zarządzanie zasobami i rozwój gospodarczy</t>
  </si>
  <si>
    <t>3.1.1. Dywersyfikacja źródeł dochodów osób związanych z sektorem rybactwa</t>
  </si>
  <si>
    <t>3.2.2. Wspieranie tworzenia łańcucha dostaw produktów rybackich</t>
  </si>
  <si>
    <t xml:space="preserve">3.1. Wykorzystanie rybackiego potencjału obszaru </t>
  </si>
  <si>
    <t>3.2. Zachowanie sektora rybackiego</t>
  </si>
  <si>
    <t>3. Rozwój zrównoważonego rybactwa i wykorzystanie jego potencjału</t>
  </si>
  <si>
    <t>Należy wypełnić w oparciu informacje zawarte w LSR, w szczególności w Planie działania. Suma kwot powinna zrównać się z budżetem na realizację LSR określonym w umowie ramowej. W przypadku gdy LSR została przewalutowana z PLN na euro, to również sprawozdanie roczne powinno być sporządzone w oparciu o walutę euro. Określenie finansowej realizacji LSR w EUR odbywa się wg kursu wymiany PLN /EUR, publikowanego przez Europejski Bank Centralny (EBC) z przedostatniego dnia roboczego miesiąca grudnia i roku, za które jest składane sprawozdanie.</t>
  </si>
  <si>
    <t>W przypadku PROW 2014 – 2020:  Dane w kolumnie „Realizacja budżetu celów ogólnych”, "Realizacja budżetu celów szczegółowych" oraz „Realizacja budżetu przedsięwzięć. Pomoc wypłacona” należy dla poddziałania 19.2 oraz 19.3 podać narastająco i powinny obejmować wyłącznie środki dotyczące operacji zakończonych, dla których płatność końcowa/druga transza (dotyczy premii na podejmowanie działalności gospodarczej) została wypłacona beneficjentowi, w przypadku poddziałania 19.4 dane należy podać dla operacji trwających, dla których dokonano  płatności przynajmniej jednej transzy. Dane obejmują także środki własne beneficjentów będących jednostkami sektora finansów publicznych, stanowiące wymagany krajowy wkład środków publicznych.</t>
  </si>
  <si>
    <t>Dane w kolumnie „Realizacja budżetu przedsięwzięć. Pomoc przyznana” należy podać narastająco i powinny obejmować kwoty z zawartych umów o przyznaniu pomocy, uwzględniających ewentualne zmiany tych umów (aneksy umowy o przyznaniu pomocy). Dane nie powinny obejmować kwot z rozwiązanych umów przyznania pomocy.</t>
  </si>
  <si>
    <t>Dane w kolumnie „Realizacja budżetu … w %” należy wskazać jako wynik dzielenia kwoty podanej w zł w kolumnie „Realizacja budżetu …” przez kwotę w kolumnie „Budżet …”.</t>
  </si>
  <si>
    <t xml:space="preserve"> W przypadku EFS: Pod uwagę należy brać operacje/etapy operacji, dla których zatwierdzone zostały  do 31 grudnia wydatki kwalifikowalne w ramach wniosków o płatność.</t>
  </si>
  <si>
    <t>Część 2</t>
  </si>
  <si>
    <t>Rzeczowa realizacja celów oraz przedsięwzięć w LSR</t>
  </si>
  <si>
    <t>Cel ogólny</t>
  </si>
  <si>
    <t>Cel szczegółowy</t>
  </si>
  <si>
    <t>Wskaźniki rezultatu</t>
  </si>
  <si>
    <t>Kod wskaźnika (dotyczy EFRROW)</t>
  </si>
  <si>
    <t>Jednostka miary</t>
  </si>
  <si>
    <t>Stan początkowy</t>
  </si>
  <si>
    <t>Stan docelowy</t>
  </si>
  <si>
    <t>Realizacja (%)</t>
  </si>
  <si>
    <t>Przedsięwzięcie</t>
  </si>
  <si>
    <t>Wskaźniki produktu</t>
  </si>
  <si>
    <t>Kod  wskaźnika (dotyczy EFRROW)</t>
  </si>
  <si>
    <t>U</t>
  </si>
  <si>
    <t>P</t>
  </si>
  <si>
    <t>liczba inicjatyw podejmowanych na rzecz lokalnej społeczności</t>
  </si>
  <si>
    <t>sztuka</t>
  </si>
  <si>
    <t>1.1.1. Realizacja inicjatyw na rzecz integracji lokalnej społeczności</t>
  </si>
  <si>
    <t xml:space="preserve">1.1.2. Rozwój potencjału
NGO </t>
  </si>
  <si>
    <t>1.3.1. Rozwój ogólnodostępnej i niekomercyjnej infrastruktury kulturalnej i rekreacyjnej, zwłaszcza służącej integracji i edukacji lokalnej społeczności</t>
  </si>
  <si>
    <t xml:space="preserve">2.2.1. Zachowanie i ochrona zasobów przyrodniczych obszaru oraz przywracanie stanu zniszczonych lub ochrona zagrożonych degradacją elementów środowiska </t>
  </si>
  <si>
    <t>2.3.1. Tworzenie, rozwój i wyposażenie infrastruktury turystycznej i rekreacyjnej historycznie lub terytorialnie związanych z działalnością rybacką</t>
  </si>
  <si>
    <t>2.3.5. Rozwój istniejących szlaków turystycznych związanych z rybactwem</t>
  </si>
  <si>
    <t>3.2.1. Rozwijanie łańcuchów dostaw produktów sektora rybackiego</t>
  </si>
  <si>
    <t xml:space="preserve">liczba szkoleń i innych form edukacyjnych zrealizowanych w ramach operacji </t>
  </si>
  <si>
    <t xml:space="preserve">ilość informacji na temat działań związanych z projektem przekazywanych dostępnymi kanałami komunikacji </t>
  </si>
  <si>
    <t xml:space="preserve">1.1.2.   Rozwój potencjału
NGO 
</t>
  </si>
  <si>
    <t>liczba stworzonych koncepcji</t>
  </si>
  <si>
    <t>liczba operacji  nastawiona na innowacje</t>
  </si>
  <si>
    <t>liczba przedsięwzięć polegających na  zachowaniu lub stworzeniu materiałów i opracowań związanych z dziedzictwem kulturowym obszaru</t>
  </si>
  <si>
    <t>liczba operacji nastawiona na innowacje</t>
  </si>
  <si>
    <t xml:space="preserve">liczba inicjatyw popularyzujących dziedzictwo lokalne obszaru </t>
  </si>
  <si>
    <t xml:space="preserve">liczba przedsięwzięć edukacyjnych związanych związana z lokalnymi zasobami morskimi i rybackimi </t>
  </si>
  <si>
    <t>1.2. Zachowaniedziedzictwa i kształtowanie tożsamości lokalnej</t>
  </si>
  <si>
    <t>liczba operacji obejmujących wyposażenie podmiotów działających w sferze kultury</t>
  </si>
  <si>
    <t xml:space="preserve">liczba podmiotów działających w sferze kultury, które otrzymały wsparcie w ramach realizacji LSR </t>
  </si>
  <si>
    <t>liczba obiektów dostosowanych do potrzeb osób niepełnosprawnych i seniorów</t>
  </si>
  <si>
    <t>1.4.1. Koszty bieżące i animacja</t>
  </si>
  <si>
    <t>osodzień</t>
  </si>
  <si>
    <t xml:space="preserve">liczba operacji polegająca na utworzeniu nowego przedsiębiorstwa </t>
  </si>
  <si>
    <t>liczba LGD uczestniczących w projekcie</t>
  </si>
  <si>
    <t>liczba zrealizowanych projektów współpracy w tym projektów współpracy międzynarodowej</t>
  </si>
  <si>
    <t>liczba spotkań informacyjno – konsultacyjnych</t>
  </si>
  <si>
    <t>liczba podmiotów, którym udzielono  porad i konsultacji</t>
  </si>
  <si>
    <t xml:space="preserve">liczba osobodni szkoleń dla członków organów </t>
  </si>
  <si>
    <t>liczba osobodni szkoleń dla pracowników</t>
  </si>
  <si>
    <t xml:space="preserve">liczba operacji polegająca na rozwoju istniejącego przedsiębiorstwa </t>
  </si>
  <si>
    <t>2.1.2. Rozwijanie działalności gospodarczej na obszarze</t>
  </si>
  <si>
    <t xml:space="preserve">liczba przedsięwzięć polegająca na zachowaniu i ochronie zasobów przyrodniczych obszaru </t>
  </si>
  <si>
    <t>2.2.1. Zachowanie i ochrona zasobów przyrodniczych obszaru oraz przywracanie stanu zniszczonych lub ochrona zagrożonych degradacją elementów środowiska</t>
  </si>
  <si>
    <t>liczba nowych, przebudowanych lub wyposażonych obiektów infrastruktury turystycznej i rekreacyjno-sportowej</t>
  </si>
  <si>
    <t>liczba  obiektów infrastruktury turystycznej i rekreacyjno-sportowej dostosowanych do potrzeb osób niepełnosprawnych i seniorów</t>
  </si>
  <si>
    <t xml:space="preserve">liczba sieci w zakresie usług turystycznych, które otrzymały wsparcie </t>
  </si>
  <si>
    <t>2.3.2. Rozwój kompleksowej oferty turystycznej</t>
  </si>
  <si>
    <t xml:space="preserve">liczba nowych miejsc noclegowych </t>
  </si>
  <si>
    <t>2.3.3. Podejmowanie działalności gospodarczej w zakresie turystyki, z wykorzystaniem kulturowych iprzyrodniczych zasobów lokalnych</t>
  </si>
  <si>
    <t>liczba przedsięwzięć polegających na podejmowaniu lub rozwoju działalności gospodarczej związanej z potencjałem wodnym</t>
  </si>
  <si>
    <t>liczba zadań  zrealizowanych w ramach operacji związanych z rozwijaniem szlaków</t>
  </si>
  <si>
    <t xml:space="preserve"> 2.3.5. Rozwój istniejących szlaków turystycznych związanych z rybactwem</t>
  </si>
  <si>
    <t xml:space="preserve">liczba podmiotów i osób fizycznych dywersyfikujących swoją działalność lub miejsce pracy </t>
  </si>
  <si>
    <t xml:space="preserve">liczba operacji nastawiona na innowacje </t>
  </si>
  <si>
    <t>liczba LGD uczestniczących w projektach współpracy</t>
  </si>
  <si>
    <t>liczba osób, która wzięła udział w wydarzeniach edukacyjnych</t>
  </si>
  <si>
    <t xml:space="preserve">udział osób należących do grup defaworyzowanych uczestniczących w zajęciach i innych formach edukacji </t>
  </si>
  <si>
    <t>procent</t>
  </si>
  <si>
    <t xml:space="preserve">liczba organizacji korzystająca z oferty szkoleniowo-edukacyjnej </t>
  </si>
  <si>
    <t xml:space="preserve">liczba obszarów w ramach LSR objętych koncepcjami rozwoju </t>
  </si>
  <si>
    <t xml:space="preserve"> liczba uczestników imprez polegających na zachowaniudziedzictwa i kształtowaniu tożsamości lokalnej</t>
  </si>
  <si>
    <t xml:space="preserve"> liczba odbiorców działań edukacyjnych związanych związana 
z lokalnymi zasobami </t>
  </si>
  <si>
    <t>liczba odbiorców zbiorów, kolekcji, wystaw, opracowań, zbiorów informacji,  baz  danych,  publikacji na temat obszarów zależnych od rybactwa</t>
  </si>
  <si>
    <t xml:space="preserve">wzrost liczby osób korzystających z wybudowanych, przebudowanych lub wyposażonych obiektów </t>
  </si>
  <si>
    <t>o 40%</t>
  </si>
  <si>
    <t>liczba osób, które otrzymały wsparcie po uprzednim udzieleniu indywidualnego doradztwa w zakresie ubiegania się o wsparcie na realizację LSR, świadczonego w biurze LGD</t>
  </si>
  <si>
    <t xml:space="preserve">liczba osób uczestnicząca w spotkaniachinformacyjno-konsultacyjnych </t>
  </si>
  <si>
    <t xml:space="preserve">liczba osób zadowolonych ze spotkań przeprowadzonych przez LGD </t>
  </si>
  <si>
    <t>liczba projektów wykorzystujących lokalne zasoby przyrodnicze, kulturowe, historyczne,turystyczne, produkty lokalne</t>
  </si>
  <si>
    <t>liczba projektów skierowana do następujących grup docelowych: przedsiębiorcy, grupy defaworyzowane, młodzież, turyści, inne</t>
  </si>
  <si>
    <t>liczba utworzonych miejsc pracy (ogółem)</t>
  </si>
  <si>
    <t>liczba zatrudnionych osób należących do grup defaworyzowanych  (wraz z samozatrudnieniem)</t>
  </si>
  <si>
    <t xml:space="preserve">liczba utworzonych miejsc pracy (ogółem) </t>
  </si>
  <si>
    <t xml:space="preserve">liczba zatrudnionych osób należących do grup defaworyzowanych </t>
  </si>
  <si>
    <t xml:space="preserve">liczba obszarów chronionych objętych realizowanymi operacjami </t>
  </si>
  <si>
    <t>wzrost liczby osób korzystających ze stworzonej, rozwiniętej lub wyposażonej infrastruktury turystycznej</t>
  </si>
  <si>
    <t>wzrost o 30%</t>
  </si>
  <si>
    <t xml:space="preserve"> liczba osób, które skorzystały z więcej niż jedna usługi turystycznej objętej siecią, która otrzymała wsparcie 
w ramach LSR</t>
  </si>
  <si>
    <t>liczba osób, które skorzystały z miejsc noclegowych w ciągu roku</t>
  </si>
  <si>
    <t>liczba zatrudnionych osób należących do grup defaworyzowanych (wraz z samozatrudnieniem)</t>
  </si>
  <si>
    <t>liczba utworzonych lub utrzymanych miejsc pracy</t>
  </si>
  <si>
    <t>liczba zatrudnionych osób należących do grup defaworyzowanych</t>
  </si>
  <si>
    <t xml:space="preserve">liczba nowych podmiotów należących do szlaków </t>
  </si>
  <si>
    <t xml:space="preserve">liczba projektów wykorzystujących lokalne zasoby przyrodnicze, kulturowe, historyczne, turystyczne, produkty lokalne </t>
  </si>
  <si>
    <t>Należy wskazać cele, przedsięwzięcia i wskaźniki realizacji LSR, z uwzględnieniem logiki powiązań pomiędzy tymi elementami (matryca logiczna).</t>
  </si>
  <si>
    <t>Każdy cel szczegółowy oraz każde przedsięwzięcie powinny zostać przyporządkowane do jednego celu ogólnego. Przyporządkowanie przedsięwzięć do celów ogólnych i szczegółowych powinno być zgodne z przyporządkowaniem dokonanym w arkuszu "Finansowy postęp".</t>
  </si>
  <si>
    <t>LGD powinna dokonać analizy treści swoich matryc logicznych/planów działania celem identyfikacji wskaźników, które można zastąpić nowym brzmieniem wskazanym w arkuszu "Wskaźniki obowiązkowe PROW". Dlatego też martycę logiczną należy wypełniać w powiązaniu z arkuszem "Wskaźniki obowiązkowe PROW". Dla zidentyfikowanego wskaźnika produktu i rezultatu w matrycy logicznej należy przypisać kod wskaźnika z arkusza "Wskaźniki obowiązkowe PROW", przypisany do poszczególnych wskaźników (o ile dany wskaźnik obowiązkowy jest adekwatny do danej LSR).</t>
  </si>
  <si>
    <t>Dane w kolumnach „Stan początkowy” oraz „Stan docelowy” należy wypełnić zgodnie z danymi w lokalnej strategii rozwoju.</t>
  </si>
  <si>
    <t>Dane w kolumnie „Realizacja U” w odniesieniu do wskaźników produktu należy podać narastająco i powinny obejmować wyłącznie informacje dotyczące operacji w odniesieniu do których zawarto umowy o przyznaniu pomocy, uwzględniając ewentualne zmiany tych umów (aneksy umowy o przyznaniu pomocy). Dane nie powinny obejmować informacji z rozwiązanych umów przyznania pomocy.</t>
  </si>
  <si>
    <t>Część 3</t>
  </si>
  <si>
    <t xml:space="preserve">Rzeczowa realizacja wskaźników obowiązkowych w zakresie PROW 2014 – 2020 </t>
  </si>
  <si>
    <t>PODDZIAŁANIE 19.2 Wsparcie na wdrażanie operacji w ramach strategii rozwoju lokalnego kierowanego przez społeczność</t>
  </si>
  <si>
    <t xml:space="preserve">Nazwa wskaźnika </t>
  </si>
  <si>
    <t>Wskaźnik realizowany (TAK/NIE)</t>
  </si>
  <si>
    <t>Kod wskaźnika</t>
  </si>
  <si>
    <t>Dezagregacja</t>
  </si>
  <si>
    <t>Rodzaj wskaźnika</t>
  </si>
  <si>
    <t>Realizacja  (w jednostce miary)</t>
  </si>
  <si>
    <t>Liczba zrealizowanych operacji polegających na utworzeniu nowego przedsiębiorstwa</t>
  </si>
  <si>
    <t>1.1</t>
  </si>
  <si>
    <t xml:space="preserve">Ogółem </t>
  </si>
  <si>
    <t>Produkt</t>
  </si>
  <si>
    <t xml:space="preserve">Sztuka </t>
  </si>
  <si>
    <t xml:space="preserve">Osoby niepełnosprawne – posiadające orzeczenie o niepełnosprawności </t>
  </si>
  <si>
    <t>1.1.1</t>
  </si>
  <si>
    <t xml:space="preserve">Osoby bezrobotne – zarejestrowane w urzędzie pracy </t>
  </si>
  <si>
    <t>1.1.2</t>
  </si>
  <si>
    <t>Sztuka</t>
  </si>
  <si>
    <t xml:space="preserve">Osoby powyżej 50 roku życia </t>
  </si>
  <si>
    <t>1.1.3</t>
  </si>
  <si>
    <t xml:space="preserve">Osoby młode do ukończenia 25 roku życia </t>
  </si>
  <si>
    <t>1.1.4</t>
  </si>
  <si>
    <t>Mężczyźni</t>
  </si>
  <si>
    <t>1.1.5</t>
  </si>
  <si>
    <t xml:space="preserve">Kobiety </t>
  </si>
  <si>
    <t>1.1.6</t>
  </si>
  <si>
    <t>Liczba zrealizowanych operacji polegających na rozwoju istniejącego przedsiębiorstwa</t>
  </si>
  <si>
    <t>1.2</t>
  </si>
  <si>
    <t>-</t>
  </si>
  <si>
    <t>Liczba utworzonych miejsc pracy</t>
  </si>
  <si>
    <t>1.3</t>
  </si>
  <si>
    <t>Ogółem</t>
  </si>
  <si>
    <t>Rezultat</t>
  </si>
  <si>
    <t>Ekwiwalent pełnego czasu pracy (EPC)</t>
  </si>
  <si>
    <t>1.3.1</t>
  </si>
  <si>
    <t xml:space="preserve">Mężczyźni </t>
  </si>
  <si>
    <t>1.3.2</t>
  </si>
  <si>
    <t>1.3.3</t>
  </si>
  <si>
    <t>1.3.4</t>
  </si>
  <si>
    <t>1.3.5</t>
  </si>
  <si>
    <t>1.3.6</t>
  </si>
  <si>
    <t>Liczba utrzymanych miejsc pracy</t>
  </si>
  <si>
    <t>1.4</t>
  </si>
  <si>
    <t>1.4.1</t>
  </si>
  <si>
    <t>1.4.2</t>
  </si>
  <si>
    <t>Liczba sieci w zakresie usług turystycznych, które otrzymały wsparcie w ramach realizacji LSR</t>
  </si>
  <si>
    <t>1.5</t>
  </si>
  <si>
    <t>Liczba podmiotów w ramach sieci w zakresie usług turystycznych</t>
  </si>
  <si>
    <t>1.6</t>
  </si>
  <si>
    <t xml:space="preserve"> Liczba sieci w zakresie krótkich łańcuchów żywnościowych lub rynków lokalnych, które otrzymały wsparcie w ramach realizacji LSR</t>
  </si>
  <si>
    <t>1.7</t>
  </si>
  <si>
    <t xml:space="preserve"> Liczba podmiotów w ramach sieci w zakresie krótkich łańcuchów żywnościowych lub rynków lokalnych, które otrzymały wsparcie w ramach realizacji LSR</t>
  </si>
  <si>
    <t>1.8</t>
  </si>
  <si>
    <t>Liczba nowych inkubatorów (centrów) przetwórstwa lokalnego</t>
  </si>
  <si>
    <t>1.9</t>
  </si>
  <si>
    <t>Liczba zmodernizowanych inkubatorów (centrów) przetwórstwa lokalnego</t>
  </si>
  <si>
    <t>1.10</t>
  </si>
  <si>
    <t xml:space="preserve"> Liczba podmiotów korzystających z infrastruktury służącej przetwarzaniu produktów rolnych rocznie</t>
  </si>
  <si>
    <t>1.11</t>
  </si>
  <si>
    <t xml:space="preserve"> Długość wybudowanych lub przebudowanych dróg</t>
  </si>
  <si>
    <t>1.12</t>
  </si>
  <si>
    <t>Kilometr</t>
  </si>
  <si>
    <t xml:space="preserve">Drogi wybudowane </t>
  </si>
  <si>
    <t>1.12.1</t>
  </si>
  <si>
    <t xml:space="preserve">Drogi przebudowane </t>
  </si>
  <si>
    <t>1.12.2</t>
  </si>
  <si>
    <t xml:space="preserve"> Liczba osób korzystających z nowej lub przebudowanej infrastruktury drogowej w zakresie włączenia społecznego</t>
  </si>
  <si>
    <t>1.13</t>
  </si>
  <si>
    <t>Osoba</t>
  </si>
  <si>
    <t>Liczba godzin pracy wolontariuszy zaangażowanych w realizację operacji</t>
  </si>
  <si>
    <t>1.14</t>
  </si>
  <si>
    <t xml:space="preserve">Liczba przygotowanych koncepcji Smart Villages </t>
  </si>
  <si>
    <t>1.15</t>
  </si>
  <si>
    <t>oraz</t>
  </si>
  <si>
    <t>PODDZIAŁANIE 19.3 Przygotowanie i realizacja działań w zakresie współpracy z lokalną grupą działania</t>
  </si>
  <si>
    <t>Liczba szkoleń</t>
  </si>
  <si>
    <t>2.1</t>
  </si>
  <si>
    <t>Liczba osób przeszkolonych</t>
  </si>
  <si>
    <t>2.2</t>
  </si>
  <si>
    <t xml:space="preserve">Osoba </t>
  </si>
  <si>
    <t>Liczba osób oceniających szkolenia jako adekwatne do oczekiwań</t>
  </si>
  <si>
    <t>2.3</t>
  </si>
  <si>
    <t>Liczba nowych obiektów infrastruktury turystycznej i rekreacyjnej</t>
  </si>
  <si>
    <t>2.4</t>
  </si>
  <si>
    <t>Obiekty noclegowe</t>
  </si>
  <si>
    <t>2.4.1</t>
  </si>
  <si>
    <t xml:space="preserve">Obiekty gastronomiczne </t>
  </si>
  <si>
    <t>2.4.2</t>
  </si>
  <si>
    <t>Obiekty sportowe/rekreacyjne</t>
  </si>
  <si>
    <t>2.4.3</t>
  </si>
  <si>
    <t>Liczba przebudowanych obiektów infrastruktury turystycznej i rekreacyjnej</t>
  </si>
  <si>
    <t>2.5</t>
  </si>
  <si>
    <t>2.5.1</t>
  </si>
  <si>
    <t>2.5.2</t>
  </si>
  <si>
    <t>2.5.3</t>
  </si>
  <si>
    <t>Liczba nowych miejsc noclegowych</t>
  </si>
  <si>
    <t>2.6</t>
  </si>
  <si>
    <t>Liczba osób, które skorzystały z nowych miejsc noclegowych w ciągu roku w nowych lub przebudowanych obiektach turystycznych</t>
  </si>
  <si>
    <t>2.7</t>
  </si>
  <si>
    <t>Długość wybudowanych lub przebudowanych ścieżek rowerowych i szlaków turystycznych</t>
  </si>
  <si>
    <t>2.8</t>
  </si>
  <si>
    <t xml:space="preserve">Ściezki rowerowe </t>
  </si>
  <si>
    <t>2.8.1</t>
  </si>
  <si>
    <t xml:space="preserve">Szlaki turystyczne </t>
  </si>
  <si>
    <t>2.8.2</t>
  </si>
  <si>
    <t>Liczba zabytków poddanych pracom konserwatorskim lub restauratorskim</t>
  </si>
  <si>
    <t>2.9</t>
  </si>
  <si>
    <t>Liczba zrealizowanych operacji obejmujących wyposażenie mające na celu szerzenie lokalnej kultury i dziedzictwa lokalnego</t>
  </si>
  <si>
    <t>2.10</t>
  </si>
  <si>
    <t>Liczba podmiotów wspartych w ramach operacji obejmujących wyposażenie mające na celu szerzenie lokalnej kultury i dziedzictwa lokalnego</t>
  </si>
  <si>
    <t>2.11</t>
  </si>
  <si>
    <t>Liczba wydarzeń / imprez</t>
  </si>
  <si>
    <t>2.12</t>
  </si>
  <si>
    <t xml:space="preserve"> Liczba zrealizowanych operacji ukierunkowanych na innowacje</t>
  </si>
  <si>
    <t>2.13</t>
  </si>
  <si>
    <t xml:space="preserve">Liczba przygotowanych projektów współpracy </t>
  </si>
  <si>
    <t>3.1</t>
  </si>
  <si>
    <t xml:space="preserve">Projekty międzyregionalne </t>
  </si>
  <si>
    <t>3.1.1</t>
  </si>
  <si>
    <t xml:space="preserve">Projekty międzynarodowe </t>
  </si>
  <si>
    <t>3.1.2</t>
  </si>
  <si>
    <t xml:space="preserve">Liczba zrealizowanych projektów współpracy </t>
  </si>
  <si>
    <t>3.2</t>
  </si>
  <si>
    <t>3.2.1</t>
  </si>
  <si>
    <t>3.2.2</t>
  </si>
  <si>
    <t xml:space="preserve">Liczba projektów współpracy wykorzystujących lokalne zasoby </t>
  </si>
  <si>
    <t>3.3</t>
  </si>
  <si>
    <t xml:space="preserve">Zasoby przyrodnicze </t>
  </si>
  <si>
    <t>3.3.1</t>
  </si>
  <si>
    <t xml:space="preserve">Zasoby kulturowe </t>
  </si>
  <si>
    <t>3.3.2</t>
  </si>
  <si>
    <t xml:space="preserve">Zasoby historyczne </t>
  </si>
  <si>
    <t>3.3.3</t>
  </si>
  <si>
    <t xml:space="preserve">Zasoby turystyczne </t>
  </si>
  <si>
    <t>3.3.4</t>
  </si>
  <si>
    <t xml:space="preserve">Produkty lokalne </t>
  </si>
  <si>
    <t>3.3.5</t>
  </si>
  <si>
    <t xml:space="preserve">Liczba projektów współpracy skierowanych do grup docelowych </t>
  </si>
  <si>
    <t>3.4</t>
  </si>
  <si>
    <t xml:space="preserve">Przedsiębiorcy </t>
  </si>
  <si>
    <t>3.4.1</t>
  </si>
  <si>
    <t>3.4.2</t>
  </si>
  <si>
    <t>3.4.3</t>
  </si>
  <si>
    <t>3.4.4</t>
  </si>
  <si>
    <t xml:space="preserve">Osoby młode od 18 do ukończenia 25 lat </t>
  </si>
  <si>
    <t>3.4.5</t>
  </si>
  <si>
    <t xml:space="preserve">Młodzież </t>
  </si>
  <si>
    <t>3.4.6</t>
  </si>
  <si>
    <t>3.4.7</t>
  </si>
  <si>
    <t xml:space="preserve">Imigranci </t>
  </si>
  <si>
    <t>3.4.8</t>
  </si>
  <si>
    <t xml:space="preserve">Turyści </t>
  </si>
  <si>
    <t>3.4.9</t>
  </si>
  <si>
    <t xml:space="preserve">LGD </t>
  </si>
  <si>
    <t>3.4.10</t>
  </si>
  <si>
    <t xml:space="preserve">Organizacje pozarządowe </t>
  </si>
  <si>
    <t>3.4.11</t>
  </si>
  <si>
    <t xml:space="preserve">Liderzy lokalni </t>
  </si>
  <si>
    <t>3.4.12</t>
  </si>
  <si>
    <t xml:space="preserve">Rolnicy </t>
  </si>
  <si>
    <t>3.4.13</t>
  </si>
  <si>
    <t>PODDZIAŁANIE 19.4 Wsparcie na rzecz kosztów bieżących i aktywizacji</t>
  </si>
  <si>
    <t>Realizacja (w jednostce miary)</t>
  </si>
  <si>
    <t xml:space="preserve">Liczba osobodni szkoleń dla pracowników i organów LGD </t>
  </si>
  <si>
    <t>4.1</t>
  </si>
  <si>
    <t xml:space="preserve">Osobodzień </t>
  </si>
  <si>
    <t xml:space="preserve">Liczba podmiotów, którym udzielono indywidualnego doradztwa </t>
  </si>
  <si>
    <t>4.2</t>
  </si>
  <si>
    <t xml:space="preserve">Osoby fizyczne </t>
  </si>
  <si>
    <t>4.2.1</t>
  </si>
  <si>
    <t xml:space="preserve">Instytucje </t>
  </si>
  <si>
    <t>4.2.2</t>
  </si>
  <si>
    <t>Liczba podmiotów, które złożyły wniosek o przyznanie pomocy </t>
  </si>
  <si>
    <t>4.2.3</t>
  </si>
  <si>
    <t>Liczba podmiotów, które zawarły umowę o przyznaniu pomocy</t>
  </si>
  <si>
    <t>4.2.4</t>
  </si>
  <si>
    <t xml:space="preserve">Liczba spotkań / wydarzeń adresowanych do mieszkańców </t>
  </si>
  <si>
    <t>4.3</t>
  </si>
  <si>
    <t>Liczba konferencji / targów / prezentacji (odbywających się poza terenem LGD) z udziałem przedstawicieli LGD</t>
  </si>
  <si>
    <t>4.4</t>
  </si>
  <si>
    <t>Liczba odwiedzin strony internetowej LGD</t>
  </si>
  <si>
    <t>4.5</t>
  </si>
  <si>
    <t>Liczba złożonych wniosków o przyznanie pomocy w ramach prowadzonych naborów</t>
  </si>
  <si>
    <t>Wnioski zgodne z LSR</t>
  </si>
  <si>
    <t>Wnioski wybrane przez LGD</t>
  </si>
  <si>
    <t>Należy wypełnić w oparciu o dane w arkuszu "Rzeczowy postęp". Dane dotyczące wskaźników obowiązkowych w tym arkuszu oraz w arkuszu "Rzeczowy postęp" powinny być zgodne (dane z kolumny „Realizacja %” w odniesieniu do wskaźników rezultatu w arkuszu "Rzeczowy postęp" z wynikiem podzielenia wartości z kolumny „Realizacja P” w tym arkuszu dla wskaźników rezultatu przez stan docelowy  w arkuszu "Rzeczowy postęp" oraz dane z kolumny „Realizacja P %” w odniesieniu do wskaźników produktu w arkuszu "Rzeczowy postęp" z wynikiem podzielenia wartości z kolumny „Realizacja P” w tym arkuszu dla wskaźników produktu przez stan docelowy w arkuszu "Rzeczowy postęp" oraz dane z kolumny „Realizacja U %” w odniesieniu do wskaźników produktu w arkuszu "Rzeczowy postęp"  z wynikiem podzielenia wartości z kolumny „Realizacja U” w tym arkuszu dla wskaźników produktu przez stan docelowy w arkuszu "Rzeczowy postęp"). W przypadku, gdy dany wskaźnik w tym arkuszu jest nieadekwatny do danej LSR – jego wartości będą zerowe w tym arkuszu.  W przypadku poddziałania 19.4 dane nalezy podać dla operacji trwających, dla których dokonano płatności przynajmniej jednej transzy.</t>
  </si>
  <si>
    <t>Opcję TAK/NIE w kolumnie "Wskaźnik realizowany" należy zaznaczyć w zależności, czy dany wskaźnik został przewidziany do realizacji w ramach LSR. W sytuacji, gdy wartości danego wskaźnika w kolumnie "Realizacja" są zerowe, jednak wskaźnik został przewidziany do realizacji w ramach LSR, należy zaznaczyć opcję TAK.</t>
  </si>
  <si>
    <t>Część 5</t>
  </si>
  <si>
    <t>Rzeczowa realizacja wskaźników obowiązkowych w zakresie EFMR</t>
  </si>
  <si>
    <t>Nazwa wskaźnika</t>
  </si>
  <si>
    <t>Przed realizacją operacji</t>
  </si>
  <si>
    <t>Po realizacji operacji</t>
  </si>
  <si>
    <t>Liczba utworzonych miejsc pracy (liczba)</t>
  </si>
  <si>
    <t>Liczba utrzymanych miejsc pracy(liczba)</t>
  </si>
  <si>
    <t>Utworzone przedsiębiorstwa (liczba)</t>
  </si>
  <si>
    <t>Część 6</t>
  </si>
  <si>
    <t>Efekty ewaluacji wewnętrznej</t>
  </si>
  <si>
    <t>Data przeprowadzenia warsztatu refleksyjnego</t>
  </si>
  <si>
    <t>W warsztacie uczestniczyli:</t>
  </si>
  <si>
    <t>Członkowie LGD</t>
  </si>
  <si>
    <t>Członkowie Zarządu LGD</t>
  </si>
  <si>
    <t>Członkowie Rady LGD</t>
  </si>
  <si>
    <t>Członkowie organu kontroli wewnętrznej LGD</t>
  </si>
  <si>
    <t>Pracownicy LGD</t>
  </si>
  <si>
    <t>Inni mieszkańcy obszaru objętego LSR</t>
  </si>
  <si>
    <t>Inne podmiotyz obszaru objętego LSR</t>
  </si>
  <si>
    <t>Przedstawiciele ZW</t>
  </si>
  <si>
    <t>Przedstawiciele innych LGD</t>
  </si>
  <si>
    <t>Część 7</t>
  </si>
  <si>
    <t>Kontrole przeprowadzone w LGD przez podmioty inne niż samorząd województwa</t>
  </si>
  <si>
    <t>L.p.</t>
  </si>
  <si>
    <t>Organ kontrolujący</t>
  </si>
  <si>
    <t>Termin kontroli</t>
  </si>
  <si>
    <t>Rodzaj kontroli</t>
  </si>
  <si>
    <t>Stwierdzone uchybienia</t>
  </si>
  <si>
    <t>Zalecenia/Rekomendacje</t>
  </si>
  <si>
    <t>Sposób wdrożenia zaleceń/rekomendacji</t>
  </si>
  <si>
    <t>nie dotyczy</t>
  </si>
  <si>
    <t>Czy realizacja finansowa i rzeczowa LSR przebiegała zgodnie z planem i można ją uznać za zadowalającą?</t>
  </si>
  <si>
    <t>Pytania uzupełniające:</t>
  </si>
  <si>
    <t>a)</t>
  </si>
  <si>
    <t>Jeżeli nie to czy poziom realizacji może negatywnie wpłynąć na realizację celów LSR?</t>
  </si>
  <si>
    <t>b)</t>
  </si>
  <si>
    <t>Jakie można wskazać przyczyny odstępstw od planu?</t>
  </si>
  <si>
    <t>c)</t>
  </si>
  <si>
    <t>Jakie działania można podjąć, by uniknąć ich w kolejnym roku?</t>
  </si>
  <si>
    <t xml:space="preserve">Obecnie liczba wspartych operacji (wybranych do dofinansowania) gwarantuje spełnienie większości wskaźników, jednak biorąc pod uwagę stopień, w jakim wnioskodawcy rezygnują z dotacji, poziom realizacji ostatnich naborów może wpłynąć na nie negatywnie, szczególnie w aspekcie wykorzystania budżetu do 06.2023r. oraz wykorzystania 50% środków w PO RYBY i PROW na tworzenie miejsc pracy (ograniczona liczba rezerwowych operacji).  </t>
  </si>
  <si>
    <t xml:space="preserve">Należy na bieżąco (w najbliższych możliwych terminach) ogłaszać nowe konkursy, wykorzystując zwalniane środki - w każdym z programów zgodnie z obowiązującą procedurą: 
- w ramach PO RYBY - prowadzić nabory w przedsięwzięciach związanych z miejscami pracy w zakresie, który w jak najmniejszym stopniu ogranicza rodzaj wnioskodawców (np. w przedsięwzięciu 2.3.4. dostępnym dla wszystkich mieszkańców), 
- w PROW – jeśli będzie to możliwe czasowo – przenieść niewykorzystane środki ze zrealizowanych przedsięwzięć na działania związane z miejscami pracy lub stworzyć nowe przedsięwzięcia, które odpowiadają na aktualne potrzeby. </t>
  </si>
  <si>
    <t>2.</t>
  </si>
  <si>
    <t xml:space="preserve">W jakim stopniu jakość składanych projektów wybieranych we wszystkich obszarach tematycznych wpływa na osiąganie wskaźników w zaplanowanym czasie? </t>
  </si>
  <si>
    <t>W jakich obszarach tematycznych jakość wniosków jest zadowalająca, a w których budzi wątpliwość?</t>
  </si>
  <si>
    <t>Jeżeli jakość w pewnych obszarach budzi wątpliwość, czy może odbić się na realizacji celów LSR?</t>
  </si>
  <si>
    <t>Co można zrobić by podnieść jakość wniosków?</t>
  </si>
  <si>
    <t xml:space="preserve">Operacje wybrane do dofinansowania pozostają na wysokim poziomie, głównie dzięki złożonym uzupełnieniom jeszcze na etapie oceny w SGR. Problemy pojawiają się zwłaszcza przy przygotowaniu biznesplanów i rozpisaniu wskaźników w naborach objętych PROW, jednak Biuro SGR pozostaje z wnioskodawcami w stałym kontakcie, dlatego brak odpowiednich uzupełnień wynika z decyzji i determinacji samych wnioskodawców. W 2022r. niewybranie projektów do dofinansowania miało wpływ na wskaźniki w przypadku 3 konkursów (na 5, w których pojawiły się odrzucone operacje), jednak jeszcze w tym samym roku powtórzono nabory. Rezygnacje wnioskodawców na etapie weryfikacji wniosków w UM oraz po podpisaniu umowy nie wynikają natomiast z jakości wniosków, ale z przyczyn wskazanych w odpowiedzi na pytanie 1b.  </t>
  </si>
  <si>
    <t>3.</t>
  </si>
  <si>
    <t>W jakim stopniu stosowane kryteria wyboru projektów spełniają swoją rolę?</t>
  </si>
  <si>
    <t>Czy są jednoznaczne, obiektywne, czy pozwalają wybrać najlepsze wnioski?</t>
  </si>
  <si>
    <t>Czy wnioskodawcy zgłaszają wątpliwości odnośnie kryteriów, jakie?</t>
  </si>
  <si>
    <t>Co można zrobić, żeby poprawić katalog kryteriów?</t>
  </si>
  <si>
    <t>4.</t>
  </si>
  <si>
    <t>W jakim stopniu wybierane projekty realizowane w ramach LSR przyczyniają się do osiągnięcia celów LSR i w jakim stopniu przyczyniają się do odpowiadania na potrzeby społeczności z obszaru LGD?</t>
  </si>
  <si>
    <t>Pytanie uzupełniające:</t>
  </si>
  <si>
    <t>Jakie zmiany w sytuacji społeczno-gospodarczej nastąpiły i mogą mieć wpływ na dezaktualizację LSR?</t>
  </si>
  <si>
    <t>Czy widać zróżnicowania potrzeb między poszczególnymi gminami? Jakie i jak można na nie zareagować?</t>
  </si>
  <si>
    <t xml:space="preserve">5. </t>
  </si>
  <si>
    <t>Czy przyjęty system wskaźników dostarcza wszystkie potrzebne informacje niezbędne do określenia skuteczności interwencyjnej strategii?</t>
  </si>
  <si>
    <t>Czy zbierane dane są wiarygodne, a źródła trafne?</t>
  </si>
  <si>
    <t>Jeśli nie to jakie zmiany można wprowadzić na tym etapie?</t>
  </si>
  <si>
    <t xml:space="preserve">Dane dotyczące realizacji wskaźników pochodzą z monitoringu SGR, ze złożonych wniosków o przyznanie pomocy oraz informacji w zakresie ilości i wartości podpisanych umów o dofinansowanie regularnie przesyłanych przez IP, a także wniosków beneficjentów o możliwość zmian w umowach. Są to oficjalne źródła, dlatego wiarygodność zdobywanych z nich danych jest 100-procentowa. </t>
  </si>
  <si>
    <t xml:space="preserve">Nie ma potrzeby wprowadzania zmian (realizowany jest wypracowany system informacji pomiędzy SGR a UM). </t>
  </si>
  <si>
    <t>6.</t>
  </si>
  <si>
    <t>Czy procedury naboru wyboru i realizacji projektów są przyjazne dla beneficjentów?</t>
  </si>
  <si>
    <t>Jakie zmiany można wprowadzić w procedurach na tym etapie by podnieść ich użyteczność?</t>
  </si>
  <si>
    <t>7.</t>
  </si>
  <si>
    <t>Jaka jest skuteczność działania biura LGD (działań animacyjnych, informacyjno-promocyjnych, doradczych)?</t>
  </si>
  <si>
    <t>8.</t>
  </si>
  <si>
    <t>a) Jakie zmiany należy wprowadzić w działaniach LGD, by skuteczniej realizowała cele LSR?</t>
  </si>
  <si>
    <t>9.</t>
  </si>
  <si>
    <t>Inne zagadnienia związane z procesem realizacji LSR</t>
  </si>
  <si>
    <t>10.</t>
  </si>
  <si>
    <t>Sposób wykorzystania rekomendacji</t>
  </si>
  <si>
    <t>Nie dotyczy</t>
  </si>
  <si>
    <t>W kontekście okresu, w jakim znajduje się realizacja LSR, należy skupić się przede wszystkim na rozliczeniu zakładanych wskaźników, a więc naborach wniosków i konsultacjach zw. z  ich rozliczaniem (na informowaniu o możliwości wsparcia w tym zakresie). W celu pozyskania czasu i środków z drugiej strony wskazane jest ograniczenie działań, które miały zastosowanie głównie w początkowej fazie programowania, tj. związanych z animowaniem potencjalnych partnerów, np. podczas imprez, czy poprzez materiały informacyjne o dużym stopniu ogólności, które mogą zostać przeniesione w obszar konsultowania nowej Strategii (tworzenie lub poszerzanie otoczenia SGR). Działania SGR powinny być zatem skierowane do węższej grupy podmiotów, które posiadają obecnie odpowiednie zasoby do realizacji operacji lub które potrzebują pomocy w ich rozliczeniu.</t>
  </si>
  <si>
    <t>1.1.</t>
  </si>
  <si>
    <t>1.2.</t>
  </si>
  <si>
    <t>1.3.</t>
  </si>
  <si>
    <t>1.3.1., 1,3.6</t>
  </si>
  <si>
    <t>2.1.</t>
  </si>
  <si>
    <t>2.2.</t>
  </si>
  <si>
    <t>2.6.</t>
  </si>
  <si>
    <t>2.7.</t>
  </si>
  <si>
    <t>1.5.</t>
  </si>
  <si>
    <t>2.13.</t>
  </si>
  <si>
    <t>tak</t>
  </si>
  <si>
    <t>nie</t>
  </si>
  <si>
    <t>nd.</t>
  </si>
  <si>
    <t>bd.</t>
  </si>
  <si>
    <t xml:space="preserve">nd. </t>
  </si>
  <si>
    <t>2.10, 2.11</t>
  </si>
  <si>
    <t xml:space="preserve">W odniesieniu do sytuacji społeczno-gospodarczej większość uczestników badań (ponad 58%) wskazała, że na obszarze zaszły zmiany, które mogą mieć wpływ na dezaktualizację Strategii, jednak nikt nie wskazał konkretnych przykładów (jeden z  respondentów odpowiedział, że LSR: … nie odpowiada obecnym zapotrzebowaniom oraz nie jest adekwatna do potrzeb oraz ma niewielki wpływ na rozwój terenu SGR, ale nie uzasadnił swojej wypowiedzi). Natomiast zarówno pracownicy Biura, jak i członkowie organów SGR zwrócili uwagę na zmiany, a raczej wydarzenia, które mają wpływ na sytuację, takie jak: wojna w Ukrainie i napływ uchodźców, niepewna sytuacja geopolityczna Polski wpływająca na potencjał gospodarczy obszaru, czy skutki społeczno-gospodarcze (np. zmiana nawyków konsumenckich) COVID-19, inflacja. Przełożenie obecnej sytuacji społeczno-gospodarczej przejawia się w trudnościach z realizację wskaźników LSR: wnioskodawcy rezygnują z realizacji operacji ze względu na niedostępność planowanego do zakupu sprzętu (w okresie pandemii zaprzestano ich produkcji), wydłużone oczekiwanie na sprzęt powoduje znaczny wzrost kosztów (inflacja), co również składa wnioskodawców do rezygnacji z realizacji projektów. Ponadto przedsiębiorcy, ale i mieszkańcy, którzy planowali rozpocząć działalność, nie decydują się na rozszerzenie lub założenie firmy, ponieważ nie są pewni rozwoju sytuacji geopolitycznej i gospodarczej, która ze względu na konflikt w Ukrainie pogorszyła się (m.in. nastąpił spadek liczby turystów z zagranicy, inflacja spowodowała natomiast ograniczenia finansowe dla "rodzimych" turystów, którzy albo rezygnują z wyjazdów wakacyjnych, albo skracają je lub ograniczają uczestnictwo w różnych atrakcjach podczas wypoczynku). </t>
  </si>
  <si>
    <t>Przyczyny odstępstw od planu wynikają głównie ze zmniejszającym się zainteresowaniem konkursami oraz rezygnacji z realizacji operacji (niepodpisywanie lub rozwiązanie umowy – w ramach konkursów w 2022r. odnotowano 8 rezygnacji, w tym 5 z zakresy dywersyfikacji działalności rybackiej). Powody takiego stanu rzeczy są niezależne od SGR i można zaliczyć do nich:
- kryzys gospodarczy i niepewną sytuację gospodarczą oraz geopolityczną, powodujące spadek zainteresowania rozwojem przedsiębiorstw lub zakładaniem nowych z obaw przed małym popytem (np. ze względu na obawy zagranicznych turystów przed przyjazdem do Polski czy skracaniem pobytów „rodzimych turystów” i ich oszczędzaniem podczas wypoczynku), 
- problemy z dostępnością towarów będących przedmiotem operacji, co zwiększa ryzyko niewykonania zadań projektowych w okresie trwania umowy (problem dotyczy szczególnie beneficjentów PO RYBY, którzy mają max. 18 miesięcy na realizację operacji, a cały program kończy się w 2023r.),
- niskimi limitami wsparcia dla beneficjenta (dot. programu PO RYBY) – wielu wnioskodawców, mimo zainteresowania nie mogą składać wniosków, z powodu wykorzystania limitu,                                                                                                                                                                                                                                                                                                                  - wyrównanie środków poprzez przeliczanie złotych po aktualnym kursie euro.
Należy zauważyć, że SGR prowadzi kampanie informacyjne i szkolenia/doradztwo w takim samym zakresie, jak w poprzednich latach, a wnioskodawcy rezygnujący z realizacji operacji podają ww. powody.</t>
  </si>
  <si>
    <t xml:space="preserve">Jedynie 2 respondentów nie widzi zróżnicowania pomiędzy poszczególnymi gminami, a najwięcej z pozostałych badanych (58,62%) uważa, że przejawia się ono głównie w kapitale początkowym mieszkańców. W ramach LSR osobom, które dopiero zaczynają swoją działalność, udzielane są premie w wysokości 60 tyś. zł, z których 80% wypłacane jest zaliczkowo. Z rozmów z wnioskodawcami wynika, że są to korzystne zasady, m.in. w porównaniu z dotacjami z PUP. Warto zauważyć, że właściwie nie narzucono ograniczeń w dostępie do środków, a osoby, które zamieszkują obszar przez dłuższy czas lub znajdują się w sytuacji wskazującej na niski kapitał (osoby do 35 r.ż. kobiety) otrzymują dodatkowe punkty. Uczestnicy warsztatów refleksyjnych nie widzą celowości różnicowania dostępu do premii ze względu na miejsce zamieszkania, ponieważ z rozmów z przedstawicielami lokalnej społeczności wynika, iż w mniej rozwiniętych gminach, aktywność przejawia raczej ludność napływowa przyjeżdżająca na wieś z odpowiednim zabezpieczeniem majątkowym. Zakłada się, że mimo pasywności „starych” mieszkańców różnice w rozwoju zostaną zniwelowane właśnie dzięki nowym mieszkańcom tworzących miejsca pracy i rozwijających swoje działalności (w 2022r. do dofinansowania wybrano 4 operacje realizowane w gminach Smołdzino i Kępice). </t>
  </si>
  <si>
    <t>Badani nie wskazali konkretnych elementów procedur, które można by zmienić, natomiast przeważająca większość z nich wskazała, ze zmiany należy wprowadzić na etapie realizacji projektów, co potwierdzają oceny przedstawione w pytaniu głównym. W okresie naborów i oceny wniosków, a więc czynności wykonywanych przez SGR, z uwagi na fakt, że w naborach uczestniczy coraz mniej wnioskodawców, pracownicy i członkowie Rady powinni starać się skracać czas weryfikacji wniosków, co nie wymaga zmian w procedurach, ale uzależnione jest od ilości obowiązków oraz organizacji pracy.</t>
  </si>
  <si>
    <t>80,35% respondentów zna procedury oceny wniosków, a 87,10% uważa, że są przyjazne dla beneficjentów, 1 osoba, że średnio, a 9,68% (3 osoby), że nie są przyjazne. Nie wskazano żadnych odpowiedzi opisowych. W zakresie jawności i sprawności procedur lepiej oceniono etap składania i wyboru projektów (jawność na etapie wyboru: 4,68 (ocena w skali 1-5, gdzie 5 jest ceną najwyższą), na etapie realizacji – 4,58, sprawność na etapie wyboru - 4,68, na etapie realizacji – 4,65), co wynika z aktualizowania księgi procedur na stronie SGR, ale także na stałości jej zapisów. Poza tym wyjaśnienie procedury oceny, zarówno przy weryfikacji w SGR, jak i w UM stanowi część szkolenia informacyjnego. Na wyższe oceny procedur na etapie naboru i oceny w aspekcie jawności i sprawności wpłynęła z pewnością również bliskość LGD – wnioskodawcy w każdej chwili mogą liczyć na konsultacje i wyjaśnienia pracowników Biura. Natomiast niższa ocena w zakresie obiektywności procedur (na etapie składania wniosków i ich wyboru – 4,52, realizacji – 4,55) może mieć związek z samym faktem oceny merytorycznej projektów, w ramach której pojawiają się takie kryteria jak: innowacyjność, wykorzystanie lokalnych zasobów, wpływ na obszar, a więc, mimo zastosowania szczegółowych opisów weryfikacji, mające charakter subiektywny.</t>
  </si>
  <si>
    <t>Wątpliwości, o których można wnioskować wyłącznie z protestów (respondenci nie wskazują, co jest dla nich niezrozumiałe, a wnioskodawcy dopytują o możliwość spełnienia kryteriów na etapie sporządzania wniosków), wynikają często z pobieżnego zapoznania się z nimi przez wnioskodawców. Pracownicy SGR na szkoleniach tłumaczą znaczenie kryteriów i zaznaczają (m.in. w prezentacjach), w jakich punktach wniosku czy innych dokumentów należy potwierdzić ich spełnienie – na podstawie protestów rozbudowują przekazywane informacje. Wskazane jest zatem kontunuowanie opisywanego rozwiązania. Przez lata SGR starała się upraszczać lub doprecyzowywać kryteria. W 2022r. w odpowiedzi na uwagę UM SGR uściśliła kryterium związane z tworzeniem miejsc pracy w przedsięwzięciu 2.3.4., natomiast na początku 2023r. poddała pod konsultacje zmianę tego samego kryterium w odniesieniu do pozostałych przedsięwzięć w ramach PO RYBY. Jednocześnie poszerzono opisy zw. z sytuacjami, w których operacja otrzymuje 0 pkt. (UM zalecił takie rozwiązanie w stosunku do przedsięwzięć, w ramach których ogłaszane były nabory). Zatem do czasu organizacji warsztatu refleksyjnego SGR podjęła działania w celu poprawienia katalogu kryteriów. Natomiast w dalszej perspektywie należy monitorować sposób ich odbioru przez wnioskodawców i, w przypadku merytorycznych podstaw, dokonywać dalszych interwencji.</t>
  </si>
  <si>
    <t>80,65% respondentów nie ma wątpliwości co do znaczenia kryteriów wyboru. Osoby, które przyznały, że takie wątpliwości u nich występują (19,35%, 6 osób), nie wyjaśniły, na czym one polegają. W 2022r. do SGR wpłynęły 2 protesty odnoszące się oceny punktowej operacji. Pierwszy złożony został przez podmiot publiczny i dotyczył kryterium związanego z dostosowaniem obiektu do potrzeb osób niepełnosprawnych oraz organizacji innowacyjnego wydarzenia. Wątpliwości dot. pierwszego kryterium wynikały z błędnego zrozumienia jego zapisów, z tym, że był to odosobniony przypadek, co wskazuje na ich prawidłowe sformułowanie. W odniesieniu do 2-giego kryterium wątpliwości zostały rozstrzygnięte na korzyść wnioskodawcy, który doprecyzował uzasadnienie. W przypadku protestu złożonego przez mieszkańca zakładającego działalność wątpliwości dotyczyły ułatwienia dostępu do usług dla osób z mniejszych miejscowości i okresu zamieszkania na obszarze SGR – jednak w pierwszym kryterium wnioskodawca wyraźnie zaznaczył obszar swojego działania (na terenie jednego miasta), a w ramach drugiego załączył dokumenty jednoznacznie wskazujące na niespełnienie warunków przyznania punktów. Należy zauważyć, że autorzy protestów nie odnieśli się do niewłaściwego sformułowania kryteriów.</t>
  </si>
  <si>
    <t xml:space="preserve">74,19% respondentów doskonale zna kryteria wyboru wniosków, a 25,81% - orientuje się w nich. Nikt z badanych nie odpowiedział, że nie posiada żadnej wiedzy w tym zakresie. Kryteria spełniają swoją rolę, tj. ich jednoznaczność i obiektywność zostały ocenione pozytywnie, podobnie jak w przypadku bezpośredniego pytania o ich przydatność. Kryteria są wciąż doprecyzowane, a na przestrzeni lat upraszczane lub zmieniane ze względu na ich funkcję różnicowania projektów. Wątpliwości wnioskodawców ujawniają się wyłącznie na etapie składania protestów, jednak w przeważającej części są one nieuzasadnione. Niemniej pracownicy powinni nadal dokładnie tłumaczyć potencjalnym wnioskodawcom sposób rozmienia ich zapisów. </t>
  </si>
  <si>
    <t xml:space="preserve">System wskaźników w Planie Działania dostarcza wszystkie potrzebne informacje niezbędne do określenia skuteczności interwencyjnej strategii, co potwierdzają badani (74,19% odpowiedziało na pytanie twierdząco, przy czym 1/5 respondentów nie miała zdania na ten temat). </t>
  </si>
  <si>
    <t xml:space="preserve">Wszystkie aspekty zostały ocenione pozytywnie. W skali od 1 do 5, gdzie 5 stanowiło najwyższą ocenę, najlepszą notę, tj., 4,58 przyznano za jednoznaczność kryteriów. Przyczyniają się do tego precyzyjne wyjaśnienia dotyczące ich treści, jak i sposobu, w jaki należy udowodnić ich spełnienie. Obiektywność została oceniona na 4,48, co może wynikać z występowania kryteriów jakościowych, które mimo wyjaśnień, czy gradacji punktowej mają charakter subiektywny. Nie mniej stanowią one tylko element w całym katalogu kryteriów, a pracownicy podczas szkoleń skupiają na ich omówieniu szczególną uwagę. Wreszcie oddziaływanie kryteriów na wybór najlepszych projektów został oceniona na 4,42. Wobec braku uzasadnienia opisowego, nie ma możliwości odniesienia się do takiego postrzegania ich przydatności – z pewnością znaczenie ma fakt, że respondenci nie znają pełnej treści wybieranych wniosków (do informacji publicznej podawane są tylko tytuły). Warto zauważyć, iż mimo pojawiających się negatywnych not (3 osoby), większość uważa, że kryteria są dostosowane do wymagań LSR, a ponad 90%, że wybierane projekty realizują cele LSR.   </t>
  </si>
  <si>
    <t>29,03% respondentów przyznało, że nie zna treści wniosków, a pozostali stwierdzili, iż ich jakość jest zadowalająca, jednak nie wskazali konkretnych zakresów. Niemal we wszystkich naborach (z wyjątkiem jednego zw. z dywersyfikacją usług dla lokalnej społeczności) zaszła konieczność wzywania wnioskodawców do uzupełnień, choć często były to drobne wyjaśniania, w szczególności dotyczące wartości wskaźników, kierowane w celu jednoznacznego określenia warunków realizacji operacji i usunięcia wątpliwości przy ocenie wniosków. Najwięcej uwag pojawia się przy operacjach w ramach PROW, gdzie wymagane jest złożenie biznesplanu – 5/7 operacji niewybranych do dofinansowania zostało złożonych właśnie w konkursach na podejmowanie działalności, a jedna na nabór na działania niekomercyjne. Ponadto w opisanym zakresie tematycznym zrezygnowano z realizacji 3/8 operacji, jednak głównie ze względu na sytuację gospodarczą, a nie z powodu zbyt wysokich standardów przygotowania wniosków. W PO RYBY aplikowanie związane jest z mniejszą biurokracją, jednak wnioskodawcy są częściej skłonni do wycofania się z realizacji projektów. W odniesieniu do wartości merytorycznej operacji, to zauważono spadek zobowiązań dotyczący miejsc pracy (tworzone są przeważnie miejsca pracy wymagane rozporządzeniem), natomiast w zakresie innowacyjności czy zatrudniania osób z grup dewaloryzowanych (2 nieobligatoryjne wskaźniki), wnioskodawcy, czerpiąc z dobrych praktyk z poprzednich naborów przekazywanych podczas szkoleń i doradztwa, starają się spełnić odpowiednie wymagania (wskaźniki na poziomie zakontraktowanych środków są przekroczone). Wyjątkiem przy innowacyjności jest rozwijanie łańcuchów dostaw produktów rybackich, gdzie ze względu na tematykę naboru, składane są standardowe wnioski dotyczące przeważnie transportu ryb lub gastronomii.</t>
  </si>
  <si>
    <t>Ponad 90% badanych uważa, iż wybierane projekty realizują cele LSR, co oznacza, iż rezygnacja z nich może zagrozić ich spełnieniu. Potwierdza to 77,42% respondentów tyle, że w odniesieniu do wskaźników. Jakość wniosków w kontekście osiągnięcia celów ma znaczenie głównie przy ich wyborze do dofinansowania - w 2022r. niewybranych zostało 7 operacji, w tym 5 w konkursach o niskim stopniu wykorzystania alokacji, tj. w których odrzucenie wniosków zmniejszyło wykorzystanie środków (nie spełniały one kryteriów formalnych). Na dalszym etapie problem z realizacją pojawia się nie z powodu problemów formalnych, ale z uwagi na sytuację gospodarczą, niemniej odstępowanie od umów ma wpływ na realizację wskaźników, zwłaszcza w schyłkowym okresie programowania.</t>
  </si>
  <si>
    <t>77,42% respondentów przyznała, że nie zna treści wniosków, a pozostali nie wypowiedzieli się w tej sprawie. SGR przed każdym naborem prowadzi 2 rodzaje szkoleń – pierwsze – informacyjne - z ogólnych zasad dofinansowania, a drugie (w ramach PROW podzielone na 2 spotkania) z zakresu sporządzania wniosków i biznesplanów. Ponadto pracownicy proponują przesyłanie wypełnionej dokumentacji do konsultacji i pomagają zwłaszcza w analizie finansowej. W ostatnich naborach zwiększył się stopień korzystania z pomocy Biura SGR na etapie składania uzupełnień do wniosków, a sami pracownicy dzwonią do wnioskodawców z informacją o wysłaniu pism z prośbą o wyjaśniania oraz przed terminem ich złożenia – z odpowiednim przypomnieniem, dlatego niezłożenie wyjaśnień lub rezygnacja z konsultacji z SGR wynika wyłącznie z decyzji wnioskodawców.</t>
  </si>
  <si>
    <t>Mimo pojedynczych głosów wskazujących na wątpliwości, przeważająca większość respondentów (87,10%) uważa, że SGR przeznaczyła odpowiednią wielkość środków na realizację przedsięwzięć i że jest ona dostosowana do lokalnych potrzeb i możliwości (oceny 4,42 i 4,35). Podobnie większość z badanych uważa, że jakość wniosków pomaga realizować cele LSR, które mimo gwałtownych zmian społeczno-gospodarczych w ostatnich 2 latach pozostają aktualne. Uczestnicy warsztatu zauważyli, że ogólne kierunki rozwoju obszaru uzależnione są nie tyle od bieżących wydarzeń, co uwarunkowań terenu, który zawsze będzie posiadał potencjał turystyczny, czy powiązany z wykorzystaniem zasobów przyrodniczych, a szczególnie morskich. Inne dziedziny gospodarki, również powiązane z położeniem regionu, będą się rozwijać w kolejnych latach (np. rozwój technologii zw. z OZE, czy dalsze profilowanie usług rekreacyjnych), dlatego należy skupić się na rozwinięciu lub sprecyzowaniu celów w przyszłym okresie programowania.</t>
  </si>
  <si>
    <t xml:space="preserve">Realizacja finansowa i rzeczowa LSR tylko w pewnym stopniu przebiegła zgodnie z planem, ponieważ ogłoszono wszystkie planowane nabory, natomiast z powodu niewykorzystania alokacji oraz rezygnacji z realizacji operacji przez beneficjentów, którzy otrzymali wsparcie, konieczne było powielenie konkursów. Dotyczy to w szczególności przedsięwzięć objętych PO RYBY. W 2022r. przeprowadzono 7 naborów wniosków, zarówno z PO RYBY, jak i PROW. Ponadto ogłoszono 2 nabory w ramach PO RYBY, których ocena zakończyła się w 2023r. i dokończono ocenę 2 naborów z PO RYBY rozpoczętych w 2021r. Na potrzeby sprawozdania przyjęto dane z 9 naborów, które zostały rozstrzygnięte w 2022r. Łączna alokacja na konkursy wyniosła 10 031 980,28 zł i w aspekcie złożonych wniosków wykorzystano ją na poziomie 77,64%. Z najmniejszym zainteresowaniem spotkały się nabory w ramach przedsięwzięć: 3.1.1. Dywersyfikacja źródeł dochodów osób związanych z sektorem rybactwa i 3.2.1.Rozwijanie łańcuchów dostaw produktów sektora rybackiego, w ramach których początkowo wnioskowana kwota pomocy przekroczyła dostępny limit, jednak w kolejnych naborach wykorzystanie alokacji wyniosło odpowiednio 35,08% i 4,76%. Łączna kwota dotacji na operacje wybrane do dofinansowania wyniosła 6 465 185,08zł (64,45%), a na operacje mieszczące się w limicie środków – 6 034 735,08 zł (60,15%). Do dofinansowania wybrano 39 z 46 złożonych wniosków, a w limicie środków zmieściło się 37 operacji. Szacuje się, ze 29 z nich zostanie zrealizowanych. Taki stan rzeczy potwierdza opinia lokalnej społeczności – 67,74% badanych nie ma zastrzeżeń co do realizacji LSR, jednak 19,35 zauważą pewne braki (tylko jedna osoba wypowiedziała się w tej kwestii zdecydowanie negatywnie. </t>
  </si>
  <si>
    <t>1. Ciągłe, będące reakcją na zwalniające się środki, ogłaszanie naborów wniosków zarówno w ramach PO RYBY, jak i PROW. 
2. Kontynuacja działań szkoleniowo – doradczych w zakresie sporządzania wniosków o dofinansowanie
3. Szczegółowe omawianie kryteriów wyboru, zwłaszcza tych, co do których wniesiono protesty (podczas szkoleń i konsultacji)
4. Maksymalne skracanie czasu opiniowania wniosków (Wspólne sporządzanie harmonogramów spotkań Rady)</t>
  </si>
  <si>
    <r>
      <rPr>
        <b/>
        <sz val="9"/>
        <color theme="1"/>
        <rFont val="Calibri"/>
        <family val="2"/>
        <charset val="238"/>
        <scheme val="minor"/>
      </rPr>
      <t>W przypadku PROW 2014 – 2020</t>
    </r>
    <r>
      <rPr>
        <sz val="9"/>
        <color theme="1"/>
        <rFont val="Calibri"/>
        <family val="2"/>
        <charset val="238"/>
        <scheme val="minor"/>
      </rPr>
      <t xml:space="preserve">:  Dane w kolumnie „Realizacja” w odniesieniu do wskaźników rezultatu oraz kolumnie „Realizacja P” w odniesieniu do wskaźników produktu dla poddziałania 19.2 oraz 19.3 należy podać narastająco i powinny obejmować wyłącznie informacje dotyczące operacji zakończonych, dla których płatność końcowa/druga transza (dotyczy premii na podejmowanie działalności gospodarczej) została wypłacona beneficjentowi, w przypadku poddziałania 19.4 dane nalezy podać dla operacji trwających, dla których dokonano płatności przynajmniej jednej transzy. </t>
    </r>
  </si>
  <si>
    <t>1.</t>
  </si>
  <si>
    <t xml:space="preserve">SGR zrealizowała wszystkie zakładane wskaźniki Planu Komunikacji i Planu Działania (z wyjątkiem liczby osobodni szkoleń dla organów SGR): liczba osób, które otrzymały wsparcie po uprzednim udzieleniu indywidualnego doradztwa w zakresie ubiegania się o wsparcie na realizację LSR, świadczonego w biurze LGD – 25 (łączny wskaźnik - 274,29%), liczba osób zadowolonych ze spotkań przeprowadzonych przez LGD – 64 (łączny wskaźnik – 119%), liczba osób uczestnicząca w spotkaniach informacyjno-konsultacyjnych – 65 (łączny wskaźnik – 130,62%), liczba osobodni szkoleń dla pracowników SGR – 16 (łączny wskaźnik – 100%), liczba spotkań informacyjno – konsultacyjnych – 10 (łączny wskaźnik - 161,54%), liczba podmiotów, którym udzielono  porad i konsultacji – 91 (łączny wskaźnik - 118,38%), liczba osobodni szkoleń dla członków organów – 26 (łączny wskaźnik - 67,94%, brakująca liczba godzin – 101), liczba wysłanych newsletterów – 100%, liczba odbiorców newslettera - 1452,67%, liczba wysłanych artykułów – 150%, liczba pozytywnych lub neutralnych publikacji w mediach i sieci internetowej w czasie 6 miesięcy – 137,5%, liczba opublikowanych artykułów – 125%, liczba powstałych i wysłanych komunikatów do gmin – 600%, liczba komunikatów wyświetlonych na poszczególnych witrynach – 450%,  liczba stworzonych komunikatów dla organizacji rybackich – 100%, liczba organizacji, które przekazały komunikat swoim członkom – 100%, liczba zakładek na stronie www LGD dedykowanych realizacji LSR – 100%, liczba indywidualnych odwiedzin na stronie www LGD – 954,1%,  liczba informacji przesłana pocztą elektroniczną – 800%, liczba odbiorców informacji – 2113%, liczba rozbudowanych baz kontaktów – 100%, wzrost liczby osób, których dane znalazły się w bazie – 120,81%, liczba imprez/wydarzeń zorganizowanych przez LGD lub w których LGD brała udział – 100%, liczba osób korzystająca z usług/oferty LGD podczas imprez/wydarzeń – 220%, liczba przygotowanych prezentacji (podczas imprez) – 100%, liczba osób, którym przedstawiono prezentacje – 220%, liczba podmiotów, którym udzielono doradztwa – 303,33%, ilość podpisanych umów dofinansowanych wniosków liczona narastająco – 125,71%, liczba osób, które otrzymały wsparcie po uprzednim udzieleniu indywidualnego doradztwa w zakresie ubiegania się o wsparcie na realizację LSR, świadczonego w biurze LGD (wyłącznie w przypadku organizacji konkursów na wnioski o dofinansowanie) – 416,67%, liczba spotkań (szkoleń) – 166,67%, liczba osób uczestnicząca w spotkaniach – 181%, liczba osób zadowolonych ze spotkań - 206,45%, liczba złożonych wniosków o wsparcie – 215%, liczba egzemplarzy kart (SSR) – 100%, wzrost liczby odwiedzających punkty, które znalazły się na kartach – 113%, liczba wydanych ankiet (corocznych, badających znajomość LSR) – 13657,50%, liczba osób, które odpowiedziały na ankietę – 103,33%, znajomość rzeczywista SGR wśród ankietowanych osób wyrażona procentowo – 389,25%, liczba ogłoszonych badań (na platformie internetowej) – 300%, liczba zgłoszonych opinii – 754%, liczba plansz (na wystawie dobrych praktyk) – 100%, liczba przesłanych informacji o wystawie – 100%, liczba stworzonych komunikatów (wyłącznie w przypadku organizacji konkursów na wnioski o dofinansowanie dla sektora rybackiego) (pasmo morskie VHS) – 100%, liczba ogłoszeń komunikatów (wyłącznie w przypadku organizacji konkursów na wnioski o dofinansowanie dla sektora rybackiego) – 100%. Całościowy wskaźnik liczby osobodni szkoleń dla organów SGR obliczany jest na koniec 2023r. Do jego realizacji pozostało ok. 7 szkoleń (przy założeniu uczestnictwa w nich wszystkich członków Rady). </t>
  </si>
  <si>
    <t>Należy przy tym zauważyć, iż szkolenia dla członków Rady odbywają się zgodnie z potrzebami i planem szkoleń, a wskaźnik nie stanowi kamienia milowego, dlatego zwiększenie intensywności działań w tym zakresie nie jest wymagane. Działania SGR zostały ocenione przez badanych pozytywnie. W zakresie szkoleń wszyscy, którzy oddali ankiety lub wypełnili je online, uznali, że szkolenia spełniły lub raczej spełniły ich oczekiwania. Wiedza i przygotowanie trenerów zostały ocenione w większości bardzo dobrze (89,06%) i dobrze (9,38%), a 1 z osób oceniła je jako przeciętne. Zdolności komunikacyjne oceniono podobnie, tj.: bardzo dobrze - 85,94%, dobrze – 9,38%, przeciętnie – 4,69% (2 osoby), tak samo materiały szkoleniowe: bardzo dobrze - 79,63%, dobrze – 18,52%, przeciętnie – 1,85% (1 osoba). W ogóle nie odnotowano ocen negatywnych. Również odbiorcy oferty doradczej pozytywnie odnieśli się do pracy konsultantów: w zakresie realizacji i rozliczenia wniosków 100% badanych (ankiety wypełniano osobiście lub telefonicznie, tzn. osoby korzystające z konsultacji mailowych, nie oceniały doradztwa) oceniło doradców bardzo dobrze i stwierdziło, że konsultacje były bardzo przydatne zarówno na etapie wnioskowania, jak i rozliczania. Opinie osób, które korzystały z konsultacji przy składaniu wniosków i uzupełnieniach do nich są podobne: 96,20% z nich oceniło zakres merytoryczny konsultacji oraz komunikatywność świadczących je pracowników bardzo dobrze lub dobrze, w przypadku wiedzy doradców oceny takie wydało 94,94% badanych, gotowości do dalszej pomocy – 97,47%. Dla 96,20% konsultacje były bardzo pomocne lub pomocne, a 83,54% na pewno skorzystałoby z nich ponownie. Ocena działań doradczych przeprowadzona w oddzielnym badaniu w skali 1-5 wyniosła natomiast 4,77 (jedna negatywna opinia). Oprócz ww. odbiorcy ocenili działania promocyjne i animacyjne. W skali 1-5 pierwszy obszar aktywności SGR został oceniony na 4,63, a drugi – na 4,68. Mimo wysokiej oceny pracownicy Biura zwrócili uwagę, iż niektóre z zadań zawartych w Planie Komunikacji wymagały modyfikacji (m.in. rezygnacja z produkcji kart Szlaku Rybackiego), co zostało skonsultowane z lokalną społecznością na początku 2023r. W ogólnej ocenie pracownicy Biura są postrzegani jako osoby o wysokiej kulturze osobistej (średnia 4,84 w skali 1-5), umiejętnościach komunikacyjnych (ocena 4,81), prowadzenia spotkań/szkoleń (4,77) oraz wiedzy (4,74). Należy zauważyć, iż w każdym z aspektów pojawiła się jedna zdecydowanie negatywna nota, co może wskazywać, iż odpowiedzi tych udzieliła ta sama osoba. Nieco bardziej rozbite oceny odnotowano w odniesieniu do SGR jako organizacji, choć w tym przypadku negatywne neutralne opinie również można uznać za odosobnione przypadki (noty: aktywność – 4,71, profesjonalizm – 4,65, innowacyjność, otwartość i suwerenność – 4,61).</t>
  </si>
  <si>
    <t xml:space="preserve">liczba przedsięwzięć polegająca na tworzeniu lub rozwijaniu łańcuchów dostaw produktów rybactwa  </t>
  </si>
  <si>
    <t>RAPORT Z EWALUACJI 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</si>
</sst>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2]\ * #,##0.00_-;\-[$€-2]\ * #,##0.00_-;_-[$€-2]\ * &quot;-&quot;??_-;_-@_-"/>
    <numFmt numFmtId="165" formatCode="_-* #,##0.00\ [$zł-415]_-;\-* #,##0.00\ [$zł-415]_-;_-* &quot;-&quot;??\ [$zł-415]_-;_-@_-"/>
    <numFmt numFmtId="166" formatCode="#,##0.0000"/>
  </numFmts>
  <fonts count="17"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20"/>
      <color theme="1"/>
      <name val="Calibri"/>
      <family val="2"/>
      <charset val="238"/>
      <scheme val="minor"/>
    </font>
    <font>
      <sz val="9"/>
      <color theme="1"/>
      <name val="Calibri"/>
      <family val="2"/>
      <charset val="238"/>
      <scheme val="minor"/>
    </font>
    <font>
      <sz val="16"/>
      <color theme="1"/>
      <name val="Calibri"/>
      <family val="2"/>
      <charset val="238"/>
      <scheme val="minor"/>
    </font>
    <font>
      <sz val="10"/>
      <color theme="1"/>
      <name val="Calibri"/>
      <family val="2"/>
      <charset val="238"/>
      <scheme val="minor"/>
    </font>
    <font>
      <b/>
      <sz val="9"/>
      <color theme="1"/>
      <name val="Calibri"/>
      <family val="2"/>
      <charset val="238"/>
      <scheme val="minor"/>
    </font>
    <font>
      <b/>
      <sz val="9"/>
      <color theme="1"/>
      <name val="Calibri"/>
      <family val="2"/>
      <charset val="238"/>
    </font>
    <font>
      <b/>
      <sz val="9"/>
      <name val="Calibri"/>
      <family val="2"/>
      <charset val="238"/>
    </font>
    <font>
      <sz val="18"/>
      <color theme="1"/>
      <name val="Times New Roman"/>
      <family val="1"/>
      <charset val="238"/>
    </font>
    <font>
      <sz val="9"/>
      <color rgb="FF000000"/>
      <name val="Calibri"/>
      <family val="2"/>
      <charset val="238"/>
      <scheme val="minor"/>
    </font>
    <font>
      <b/>
      <sz val="9"/>
      <name val="Calibri"/>
      <family val="2"/>
      <charset val="238"/>
      <scheme val="minor"/>
    </font>
    <font>
      <sz val="9"/>
      <name val="Calibri"/>
      <family val="2"/>
      <charset val="238"/>
      <scheme val="minor"/>
    </font>
    <font>
      <i/>
      <sz val="9"/>
      <color theme="1"/>
      <name val="Calibri"/>
      <family val="2"/>
      <charset val="238"/>
      <scheme val="minor"/>
    </font>
    <font>
      <b/>
      <i/>
      <sz val="11"/>
      <color theme="1"/>
      <name val="Calibri"/>
      <family val="2"/>
      <charset val="238"/>
      <scheme val="minor"/>
    </font>
    <font>
      <b/>
      <i/>
      <sz val="10"/>
      <color theme="1"/>
      <name val="Calibri"/>
      <family val="2"/>
      <charset val="238"/>
      <scheme val="minor"/>
    </font>
  </fonts>
  <fills count="18">
    <fill>
      <patternFill patternType="none"/>
    </fill>
    <fill>
      <patternFill patternType="gray125"/>
    </fill>
    <fill>
      <patternFill patternType="solid">
        <fgColor theme="0" tint="-0.249977111117893"/>
        <bgColor indexed="64"/>
      </patternFill>
    </fill>
    <fill>
      <patternFill patternType="solid">
        <fgColor theme="2" tint="-9.9978637043366805E-2"/>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bgColor indexed="64"/>
      </patternFill>
    </fill>
    <fill>
      <patternFill patternType="solid">
        <fgColor theme="7" tint="0.39997558519241921"/>
        <bgColor indexed="64"/>
      </patternFill>
    </fill>
    <fill>
      <patternFill patternType="solid">
        <fgColor rgb="FFFFFF00"/>
        <bgColor indexed="64"/>
      </patternFill>
    </fill>
    <fill>
      <patternFill patternType="solid">
        <fgColor theme="4" tint="0.39997558519241921"/>
        <bgColor indexed="64"/>
      </patternFill>
    </fill>
    <fill>
      <patternFill patternType="solid">
        <fgColor theme="4"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xf numFmtId="9" fontId="1" fillId="0" borderId="0" applyFont="0" applyFill="0" applyBorder="0" applyAlignment="0" applyProtection="0"/>
  </cellStyleXfs>
  <cellXfs count="298">
    <xf numFmtId="0" fontId="0" fillId="0" borderId="0" xfId="0"/>
    <xf numFmtId="0" fontId="3" fillId="0" borderId="0" xfId="0" applyFont="1" applyAlignment="1">
      <alignment horizontal="center" vertical="center"/>
    </xf>
    <xf numFmtId="0" fontId="0" fillId="0" borderId="0" xfId="0" applyAlignment="1">
      <alignment horizontal="center" vertical="center"/>
    </xf>
    <xf numFmtId="0" fontId="3" fillId="2" borderId="0" xfId="0" applyFont="1" applyFill="1" applyAlignment="1">
      <alignment horizontal="center" vertical="center"/>
    </xf>
    <xf numFmtId="0" fontId="7" fillId="3" borderId="1" xfId="0" applyFont="1" applyFill="1" applyBorder="1"/>
    <xf numFmtId="0" fontId="4" fillId="0" borderId="4" xfId="0" applyFont="1" applyBorder="1"/>
    <xf numFmtId="0" fontId="4" fillId="0" borderId="5" xfId="0" applyFont="1" applyBorder="1"/>
    <xf numFmtId="0" fontId="4" fillId="0" borderId="6" xfId="0" applyFont="1" applyBorder="1"/>
    <xf numFmtId="0" fontId="9" fillId="7" borderId="1" xfId="0" applyFont="1" applyFill="1" applyBorder="1" applyAlignment="1">
      <alignment vertical="center" wrapText="1"/>
    </xf>
    <xf numFmtId="0" fontId="4" fillId="0" borderId="1" xfId="0" applyFont="1" applyBorder="1" applyAlignment="1">
      <alignment vertical="center" wrapText="1"/>
    </xf>
    <xf numFmtId="165" fontId="4" fillId="0" borderId="1" xfId="0" applyNumberFormat="1" applyFont="1" applyBorder="1" applyAlignment="1">
      <alignment vertical="center" wrapText="1"/>
    </xf>
    <xf numFmtId="164" fontId="4" fillId="0" borderId="1" xfId="0" applyNumberFormat="1" applyFont="1" applyBorder="1" applyAlignment="1">
      <alignment vertical="center" wrapText="1"/>
    </xf>
    <xf numFmtId="0" fontId="4" fillId="6"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5" borderId="1" xfId="0" applyFont="1" applyFill="1" applyBorder="1" applyAlignment="1">
      <alignment horizontal="center" vertical="center" wrapText="1"/>
    </xf>
    <xf numFmtId="164" fontId="4" fillId="0" borderId="1" xfId="1" applyNumberFormat="1" applyFont="1" applyBorder="1" applyAlignment="1">
      <alignment vertical="center" wrapText="1"/>
    </xf>
    <xf numFmtId="0" fontId="7" fillId="12" borderId="1" xfId="0" applyFont="1" applyFill="1" applyBorder="1" applyAlignment="1">
      <alignment horizontal="center" vertical="center" wrapText="1" readingOrder="1"/>
    </xf>
    <xf numFmtId="0" fontId="11" fillId="12" borderId="1"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2" borderId="8" xfId="0" applyFont="1" applyFill="1" applyBorder="1" applyAlignment="1">
      <alignment horizontal="center" vertical="center" wrapText="1"/>
    </xf>
    <xf numFmtId="0" fontId="4" fillId="0" borderId="3" xfId="0" applyFont="1" applyBorder="1" applyAlignment="1">
      <alignment horizontal="center" vertical="center" wrapText="1"/>
    </xf>
    <xf numFmtId="0" fontId="7" fillId="4" borderId="7" xfId="0" applyFont="1" applyFill="1" applyBorder="1" applyAlignment="1">
      <alignment horizontal="center" vertical="center" wrapText="1" readingOrder="1"/>
    </xf>
    <xf numFmtId="0" fontId="4" fillId="11" borderId="1" xfId="0" applyFont="1" applyFill="1" applyBorder="1" applyAlignment="1">
      <alignment horizontal="center" vertical="center" wrapText="1" readingOrder="1"/>
    </xf>
    <xf numFmtId="0" fontId="4" fillId="13" borderId="1" xfId="0" applyFont="1" applyFill="1" applyBorder="1" applyAlignment="1">
      <alignment horizontal="center" vertical="center" wrapText="1" readingOrder="1"/>
    </xf>
    <xf numFmtId="0" fontId="4" fillId="11" borderId="1" xfId="0" applyFont="1" applyFill="1" applyBorder="1" applyAlignment="1">
      <alignment horizontal="center" vertical="center" wrapText="1"/>
    </xf>
    <xf numFmtId="0" fontId="4" fillId="11" borderId="8" xfId="0" applyFont="1" applyFill="1" applyBorder="1" applyAlignment="1">
      <alignment horizontal="center" vertical="center" wrapText="1"/>
    </xf>
    <xf numFmtId="0" fontId="4" fillId="11" borderId="7" xfId="0" applyFont="1" applyFill="1" applyBorder="1" applyAlignment="1">
      <alignment horizontal="center" vertical="center" wrapText="1"/>
    </xf>
    <xf numFmtId="0" fontId="7" fillId="3" borderId="1" xfId="0" applyFont="1" applyFill="1" applyBorder="1" applyAlignment="1"/>
    <xf numFmtId="0" fontId="4" fillId="0" borderId="10"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12" fillId="10"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14" borderId="1" xfId="0" applyFont="1" applyFill="1" applyBorder="1" applyAlignment="1">
      <alignment horizontal="center" vertical="center" wrapText="1"/>
    </xf>
    <xf numFmtId="0" fontId="4" fillId="14" borderId="8"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13" fillId="9"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4" fillId="0" borderId="0" xfId="0" applyFont="1" applyAlignment="1">
      <alignment horizontal="center"/>
    </xf>
    <xf numFmtId="0" fontId="4" fillId="4" borderId="8" xfId="0" applyFont="1" applyFill="1" applyBorder="1" applyAlignment="1">
      <alignment horizontal="center" vertical="center" wrapText="1"/>
    </xf>
    <xf numFmtId="0" fontId="4" fillId="0" borderId="0" xfId="0" applyFont="1" applyAlignment="1">
      <alignment horizontal="center" vertical="center"/>
    </xf>
    <xf numFmtId="0" fontId="4" fillId="0" borderId="10" xfId="0" applyFont="1" applyBorder="1"/>
    <xf numFmtId="0" fontId="4" fillId="0" borderId="2" xfId="0" applyFont="1" applyBorder="1"/>
    <xf numFmtId="0" fontId="4" fillId="0" borderId="3" xfId="0" applyFont="1" applyBorder="1"/>
    <xf numFmtId="0" fontId="11" fillId="4" borderId="1" xfId="0" applyFont="1" applyFill="1" applyBorder="1" applyAlignment="1">
      <alignment vertical="center" wrapText="1"/>
    </xf>
    <xf numFmtId="0" fontId="2" fillId="3" borderId="2" xfId="0" applyFont="1" applyFill="1" applyBorder="1" applyAlignment="1"/>
    <xf numFmtId="0" fontId="2" fillId="3" borderId="3" xfId="0" applyFont="1" applyFill="1" applyBorder="1" applyAlignment="1"/>
    <xf numFmtId="0" fontId="0" fillId="0" borderId="0" xfId="0" applyFont="1" applyAlignment="1">
      <alignment horizontal="left" vertical="center" wrapText="1"/>
    </xf>
    <xf numFmtId="0" fontId="7" fillId="3" borderId="10" xfId="0" applyFont="1" applyFill="1" applyBorder="1" applyAlignment="1"/>
    <xf numFmtId="0" fontId="7" fillId="3" borderId="2" xfId="0" applyFont="1" applyFill="1" applyBorder="1" applyAlignment="1"/>
    <xf numFmtId="0" fontId="4" fillId="0" borderId="0" xfId="0" applyFont="1" applyAlignment="1">
      <alignment horizontal="left" vertical="center"/>
    </xf>
    <xf numFmtId="0" fontId="14"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xf numFmtId="0" fontId="4" fillId="10" borderId="1" xfId="0" applyFont="1" applyFill="1" applyBorder="1" applyAlignment="1">
      <alignment horizontal="center" vertical="center" wrapText="1"/>
    </xf>
    <xf numFmtId="0" fontId="7" fillId="3" borderId="3" xfId="0" applyFont="1" applyFill="1" applyBorder="1" applyAlignment="1"/>
    <xf numFmtId="0" fontId="4" fillId="0" borderId="1" xfId="0" applyFont="1" applyBorder="1" applyAlignment="1">
      <alignment horizontal="left" vertical="center"/>
    </xf>
    <xf numFmtId="0" fontId="14"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xf numFmtId="164" fontId="4" fillId="0" borderId="8" xfId="0" applyNumberFormat="1" applyFont="1" applyBorder="1" applyAlignment="1">
      <alignment horizontal="center" vertical="center" wrapText="1"/>
    </xf>
    <xf numFmtId="165" fontId="4" fillId="0" borderId="8" xfId="0" applyNumberFormat="1" applyFont="1" applyBorder="1" applyAlignment="1">
      <alignment horizontal="center" vertical="center" wrapText="1"/>
    </xf>
    <xf numFmtId="14" fontId="0" fillId="0" borderId="0" xfId="0" applyNumberFormat="1"/>
    <xf numFmtId="166" fontId="0" fillId="0" borderId="0" xfId="0" applyNumberFormat="1"/>
    <xf numFmtId="165" fontId="4" fillId="8" borderId="1" xfId="0" applyNumberFormat="1" applyFont="1" applyFill="1" applyBorder="1" applyAlignment="1">
      <alignment vertical="center" wrapText="1"/>
    </xf>
    <xf numFmtId="164" fontId="4" fillId="8" borderId="1" xfId="0" applyNumberFormat="1" applyFont="1" applyFill="1" applyBorder="1" applyAlignment="1">
      <alignment vertical="center" wrapText="1"/>
    </xf>
    <xf numFmtId="164" fontId="4" fillId="9" borderId="1" xfId="0" applyNumberFormat="1" applyFont="1" applyFill="1" applyBorder="1" applyAlignment="1">
      <alignment vertical="center" wrapText="1"/>
    </xf>
    <xf numFmtId="165" fontId="4" fillId="9" borderId="1" xfId="0" applyNumberFormat="1" applyFont="1" applyFill="1" applyBorder="1" applyAlignment="1">
      <alignment vertical="center" wrapText="1"/>
    </xf>
    <xf numFmtId="4" fontId="4" fillId="0" borderId="1" xfId="0" applyNumberFormat="1" applyFont="1" applyBorder="1" applyAlignment="1">
      <alignment vertical="center" wrapText="1"/>
    </xf>
    <xf numFmtId="4" fontId="4" fillId="13" borderId="1" xfId="0" applyNumberFormat="1" applyFont="1" applyFill="1" applyBorder="1" applyAlignment="1">
      <alignment vertical="center" wrapText="1"/>
    </xf>
    <xf numFmtId="4" fontId="4" fillId="12" borderId="1" xfId="0" applyNumberFormat="1" applyFont="1" applyFill="1" applyBorder="1" applyAlignment="1">
      <alignment horizontal="center" vertical="center" wrapText="1"/>
    </xf>
    <xf numFmtId="4" fontId="4" fillId="11" borderId="1" xfId="0" applyNumberFormat="1" applyFont="1" applyFill="1" applyBorder="1" applyAlignment="1">
      <alignment horizontal="center" vertical="center" wrapText="1" readingOrder="1"/>
    </xf>
    <xf numFmtId="4" fontId="4" fillId="11" borderId="7" xfId="0" applyNumberFormat="1" applyFont="1" applyFill="1" applyBorder="1" applyAlignment="1">
      <alignment horizontal="center" vertical="center" wrapText="1" readingOrder="1"/>
    </xf>
    <xf numFmtId="0" fontId="11" fillId="0" borderId="1" xfId="0" applyFont="1" applyBorder="1" applyAlignment="1">
      <alignment horizontal="center" vertical="center" wrapText="1"/>
    </xf>
    <xf numFmtId="0" fontId="6" fillId="0" borderId="0" xfId="0" applyFont="1"/>
    <xf numFmtId="0" fontId="6" fillId="0" borderId="0" xfId="0" applyFont="1" applyAlignment="1">
      <alignment horizontal="center" vertical="center"/>
    </xf>
    <xf numFmtId="0" fontId="6" fillId="0" borderId="0" xfId="0" applyFont="1" applyAlignment="1">
      <alignment vertical="center"/>
    </xf>
    <xf numFmtId="0" fontId="6" fillId="16" borderId="1" xfId="0" applyFont="1" applyFill="1" applyBorder="1" applyAlignment="1">
      <alignment horizontal="center" vertical="top"/>
    </xf>
    <xf numFmtId="0" fontId="6" fillId="17" borderId="1" xfId="0" applyFont="1" applyFill="1" applyBorder="1" applyAlignment="1">
      <alignment horizontal="center" vertical="center"/>
    </xf>
    <xf numFmtId="0" fontId="6" fillId="16" borderId="1" xfId="0" applyFont="1" applyFill="1" applyBorder="1" applyAlignment="1">
      <alignment horizontal="center" vertical="center" wrapText="1"/>
    </xf>
    <xf numFmtId="0" fontId="6" fillId="0" borderId="0" xfId="0" applyFont="1" applyAlignment="1">
      <alignment horizontal="left"/>
    </xf>
    <xf numFmtId="0" fontId="6" fillId="0" borderId="0" xfId="0" applyFont="1" applyAlignment="1">
      <alignment horizontal="left" wrapText="1"/>
    </xf>
    <xf numFmtId="0" fontId="6" fillId="16" borderId="1" xfId="0" applyFont="1" applyFill="1" applyBorder="1" applyAlignment="1">
      <alignment horizontal="center" vertical="center"/>
    </xf>
    <xf numFmtId="0" fontId="6" fillId="0" borderId="0" xfId="0" applyFont="1" applyAlignment="1">
      <alignment horizontal="left" vertical="center"/>
    </xf>
    <xf numFmtId="0" fontId="6" fillId="16" borderId="1" xfId="0" applyFont="1" applyFill="1" applyBorder="1"/>
    <xf numFmtId="0" fontId="15" fillId="0" borderId="0" xfId="0" applyFont="1"/>
    <xf numFmtId="0" fontId="16" fillId="0" borderId="0" xfId="0" applyFont="1"/>
    <xf numFmtId="0" fontId="16" fillId="0" borderId="0" xfId="0" applyFont="1" applyAlignment="1">
      <alignment horizontal="left"/>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16"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15" borderId="1" xfId="0" applyFont="1" applyFill="1" applyBorder="1" applyAlignment="1">
      <alignment horizontal="center" vertical="center" wrapText="1"/>
    </xf>
    <xf numFmtId="0" fontId="4" fillId="15" borderId="7" xfId="0" applyFont="1" applyFill="1" applyBorder="1" applyAlignment="1">
      <alignment horizontal="center" vertical="center" wrapText="1"/>
    </xf>
    <xf numFmtId="0" fontId="4" fillId="15" borderId="8" xfId="0" applyFont="1" applyFill="1" applyBorder="1" applyAlignment="1">
      <alignment horizontal="center" vertical="center" wrapText="1"/>
    </xf>
    <xf numFmtId="0" fontId="4" fillId="0" borderId="0" xfId="0" applyFont="1" applyBorder="1" applyAlignment="1">
      <alignment horizontal="center"/>
    </xf>
    <xf numFmtId="0" fontId="4" fillId="0" borderId="0"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15" borderId="1" xfId="0" applyFont="1" applyFill="1" applyBorder="1" applyAlignment="1">
      <alignment horizontal="center" vertical="center" wrapText="1"/>
    </xf>
    <xf numFmtId="49" fontId="13" fillId="14" borderId="1" xfId="0" applyNumberFormat="1"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4" fillId="13" borderId="7" xfId="0" applyFont="1" applyFill="1" applyBorder="1" applyAlignment="1">
      <alignment horizontal="center" vertical="center" wrapText="1"/>
    </xf>
    <xf numFmtId="0" fontId="4" fillId="13" borderId="1" xfId="0" applyFont="1" applyFill="1" applyBorder="1" applyAlignment="1">
      <alignment horizontal="center" vertical="center" wrapText="1"/>
    </xf>
    <xf numFmtId="0" fontId="0" fillId="13" borderId="0" xfId="0" applyFill="1"/>
    <xf numFmtId="165" fontId="4" fillId="13" borderId="1" xfId="0" applyNumberFormat="1" applyFont="1" applyFill="1" applyBorder="1" applyAlignment="1">
      <alignment vertical="center" wrapText="1"/>
    </xf>
    <xf numFmtId="0" fontId="11" fillId="13" borderId="1" xfId="0" applyFont="1" applyFill="1" applyBorder="1" applyAlignment="1">
      <alignment horizontal="center" vertical="center" wrapText="1"/>
    </xf>
    <xf numFmtId="0" fontId="3" fillId="0" borderId="0" xfId="0" applyFont="1" applyAlignment="1">
      <alignment horizontal="right" vertical="center"/>
    </xf>
    <xf numFmtId="0" fontId="3" fillId="2" borderId="0" xfId="0" applyFont="1" applyFill="1" applyAlignment="1">
      <alignment horizontal="center" vertical="center"/>
    </xf>
    <xf numFmtId="0" fontId="0" fillId="0" borderId="0" xfId="0" applyAlignment="1">
      <alignment horizontal="right"/>
    </xf>
    <xf numFmtId="0" fontId="3" fillId="0" borderId="0" xfId="0" applyFont="1" applyAlignment="1">
      <alignment horizontal="center" vertical="center"/>
    </xf>
    <xf numFmtId="49" fontId="3" fillId="2" borderId="0" xfId="0" applyNumberFormat="1" applyFont="1" applyFill="1" applyAlignment="1">
      <alignment horizontal="center" vertical="center"/>
    </xf>
    <xf numFmtId="4" fontId="4" fillId="0" borderId="7" xfId="0" applyNumberFormat="1" applyFont="1" applyBorder="1" applyAlignment="1">
      <alignment horizontal="center" vertical="center" wrapText="1"/>
    </xf>
    <xf numFmtId="4" fontId="4" fillId="0" borderId="8" xfId="0" applyNumberFormat="1" applyFont="1" applyBorder="1" applyAlignment="1">
      <alignment horizontal="center" vertical="center" wrapText="1"/>
    </xf>
    <xf numFmtId="0" fontId="4" fillId="8" borderId="11" xfId="0" applyFont="1" applyFill="1" applyBorder="1" applyAlignment="1">
      <alignment horizontal="right" vertical="center" wrapText="1"/>
    </xf>
    <xf numFmtId="0" fontId="4" fillId="8" borderId="12" xfId="0" applyFont="1" applyFill="1" applyBorder="1" applyAlignment="1">
      <alignment horizontal="right" vertical="center" wrapText="1"/>
    </xf>
    <xf numFmtId="0" fontId="4" fillId="8" borderId="13" xfId="0" applyFont="1" applyFill="1" applyBorder="1" applyAlignment="1">
      <alignment horizontal="right" vertical="center" wrapText="1"/>
    </xf>
    <xf numFmtId="0" fontId="4" fillId="8" borderId="4" xfId="0" applyFont="1" applyFill="1" applyBorder="1" applyAlignment="1">
      <alignment horizontal="right" vertical="center" wrapText="1"/>
    </xf>
    <xf numFmtId="0" fontId="4" fillId="8" borderId="5" xfId="0" applyFont="1" applyFill="1" applyBorder="1" applyAlignment="1">
      <alignment horizontal="right" vertical="center" wrapText="1"/>
    </xf>
    <xf numFmtId="0" fontId="4" fillId="8" borderId="6" xfId="0" applyFont="1" applyFill="1" applyBorder="1" applyAlignment="1">
      <alignment horizontal="right" vertical="center" wrapText="1"/>
    </xf>
    <xf numFmtId="0" fontId="4" fillId="9" borderId="11" xfId="0" applyFont="1" applyFill="1" applyBorder="1" applyAlignment="1">
      <alignment horizontal="right" vertical="center" wrapText="1"/>
    </xf>
    <xf numFmtId="0" fontId="4" fillId="9" borderId="12" xfId="0" applyFont="1" applyFill="1" applyBorder="1" applyAlignment="1">
      <alignment horizontal="right" vertical="center" wrapText="1"/>
    </xf>
    <xf numFmtId="0" fontId="4" fillId="9" borderId="13" xfId="0" applyFont="1" applyFill="1" applyBorder="1" applyAlignment="1">
      <alignment horizontal="right" vertical="center" wrapText="1"/>
    </xf>
    <xf numFmtId="0" fontId="4" fillId="9" borderId="4" xfId="0" applyFont="1" applyFill="1" applyBorder="1" applyAlignment="1">
      <alignment horizontal="right" vertical="center" wrapText="1"/>
    </xf>
    <xf numFmtId="0" fontId="4" fillId="9" borderId="5" xfId="0" applyFont="1" applyFill="1" applyBorder="1" applyAlignment="1">
      <alignment horizontal="right" vertical="center" wrapText="1"/>
    </xf>
    <xf numFmtId="0" fontId="4" fillId="9" borderId="6" xfId="0" applyFont="1" applyFill="1" applyBorder="1" applyAlignment="1">
      <alignment horizontal="right" vertical="center" wrapText="1"/>
    </xf>
    <xf numFmtId="0" fontId="4" fillId="0" borderId="0" xfId="0" applyFont="1" applyAlignment="1">
      <alignment horizontal="left" vertical="center" wrapText="1"/>
    </xf>
    <xf numFmtId="164" fontId="4" fillId="0" borderId="7" xfId="0" applyNumberFormat="1" applyFont="1" applyBorder="1" applyAlignment="1">
      <alignment horizontal="center" vertical="center" wrapText="1"/>
    </xf>
    <xf numFmtId="164" fontId="4" fillId="0" borderId="8" xfId="0" applyNumberFormat="1" applyFont="1" applyBorder="1" applyAlignment="1">
      <alignment horizontal="center" vertical="center" wrapText="1"/>
    </xf>
    <xf numFmtId="165" fontId="4" fillId="0" borderId="7" xfId="0" applyNumberFormat="1" applyFont="1" applyBorder="1" applyAlignment="1">
      <alignment horizontal="center" vertical="center" wrapText="1"/>
    </xf>
    <xf numFmtId="165" fontId="4" fillId="0" borderId="9" xfId="0" applyNumberFormat="1" applyFont="1" applyBorder="1" applyAlignment="1">
      <alignment horizontal="center" vertical="center" wrapText="1"/>
    </xf>
    <xf numFmtId="165" fontId="4" fillId="0" borderId="8" xfId="0" applyNumberFormat="1" applyFont="1" applyBorder="1" applyAlignment="1">
      <alignment horizontal="center" vertical="center" wrapText="1"/>
    </xf>
    <xf numFmtId="164" fontId="4" fillId="0" borderId="9" xfId="0" applyNumberFormat="1" applyFont="1" applyBorder="1" applyAlignment="1">
      <alignment horizontal="center" vertical="center" wrapText="1"/>
    </xf>
    <xf numFmtId="4" fontId="4" fillId="0" borderId="9" xfId="0" applyNumberFormat="1" applyFont="1" applyBorder="1" applyAlignment="1">
      <alignment horizontal="center" vertical="center" wrapText="1"/>
    </xf>
    <xf numFmtId="0" fontId="5" fillId="4" borderId="7" xfId="0" applyFont="1" applyFill="1" applyBorder="1" applyAlignment="1">
      <alignment horizontal="center" vertical="center" textRotation="90" wrapText="1"/>
    </xf>
    <xf numFmtId="0" fontId="10" fillId="4" borderId="9" xfId="0" applyFont="1" applyFill="1" applyBorder="1" applyAlignment="1">
      <alignment horizontal="center" vertical="center" textRotation="90" wrapText="1"/>
    </xf>
    <xf numFmtId="0" fontId="10" fillId="4" borderId="8" xfId="0" applyFont="1" applyFill="1" applyBorder="1" applyAlignment="1">
      <alignment horizontal="center" vertical="center" textRotation="90" wrapText="1"/>
    </xf>
    <xf numFmtId="0" fontId="4" fillId="0" borderId="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5" borderId="7"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10" fillId="4" borderId="7" xfId="0" applyFont="1" applyFill="1" applyBorder="1" applyAlignment="1">
      <alignment horizontal="center" vertical="center" textRotation="90" wrapText="1"/>
    </xf>
    <xf numFmtId="4" fontId="4" fillId="0" borderId="1" xfId="0" applyNumberFormat="1" applyFont="1" applyBorder="1" applyAlignment="1">
      <alignment horizontal="center" vertical="center" wrapText="1"/>
    </xf>
    <xf numFmtId="0" fontId="4" fillId="5"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3" borderId="2" xfId="0" applyFont="1" applyFill="1" applyBorder="1" applyAlignment="1">
      <alignment horizontal="left"/>
    </xf>
    <xf numFmtId="0" fontId="7" fillId="3" borderId="3" xfId="0" applyFont="1" applyFill="1" applyBorder="1" applyAlignment="1">
      <alignment horizontal="left"/>
    </xf>
    <xf numFmtId="0" fontId="8" fillId="4"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4" fillId="0" borderId="11" xfId="0" applyFont="1" applyBorder="1" applyAlignment="1">
      <alignment horizontal="justify" vertical="center"/>
    </xf>
    <xf numFmtId="0" fontId="4" fillId="0" borderId="12" xfId="0" applyFont="1" applyBorder="1" applyAlignment="1">
      <alignment horizontal="justify" vertical="center"/>
    </xf>
    <xf numFmtId="0" fontId="4" fillId="0" borderId="13" xfId="0" applyFont="1" applyBorder="1" applyAlignment="1">
      <alignment horizontal="justify" vertical="center"/>
    </xf>
    <xf numFmtId="0" fontId="4" fillId="0" borderId="14" xfId="0" applyFont="1" applyBorder="1" applyAlignment="1">
      <alignment horizontal="justify" vertical="center"/>
    </xf>
    <xf numFmtId="0" fontId="4" fillId="0" borderId="0" xfId="0" applyFont="1" applyBorder="1" applyAlignment="1">
      <alignment horizontal="justify" vertical="center"/>
    </xf>
    <xf numFmtId="0" fontId="4" fillId="0" borderId="15" xfId="0" applyFont="1" applyBorder="1" applyAlignment="1">
      <alignment horizontal="justify" vertical="center"/>
    </xf>
    <xf numFmtId="0" fontId="4" fillId="0" borderId="14" xfId="0" applyFont="1" applyBorder="1" applyAlignment="1">
      <alignment horizontal="left" vertical="center"/>
    </xf>
    <xf numFmtId="0" fontId="4" fillId="0" borderId="0" xfId="0" applyFont="1" applyBorder="1" applyAlignment="1">
      <alignment horizontal="left" vertical="center"/>
    </xf>
    <xf numFmtId="0" fontId="4" fillId="0" borderId="15" xfId="0" applyFont="1" applyBorder="1" applyAlignment="1">
      <alignment horizontal="left" vertical="center"/>
    </xf>
    <xf numFmtId="0" fontId="4" fillId="0" borderId="4" xfId="0" applyFont="1" applyBorder="1" applyAlignment="1">
      <alignment horizontal="justify" vertical="center"/>
    </xf>
    <xf numFmtId="0" fontId="4" fillId="0" borderId="5" xfId="0" applyFont="1" applyBorder="1" applyAlignment="1">
      <alignment horizontal="justify" vertical="center"/>
    </xf>
    <xf numFmtId="0" fontId="4" fillId="0" borderId="6" xfId="0" applyFont="1" applyBorder="1" applyAlignment="1">
      <alignment horizontal="justify" vertical="center"/>
    </xf>
    <xf numFmtId="0" fontId="4" fillId="12" borderId="7" xfId="0" applyFont="1" applyFill="1" applyBorder="1" applyAlignment="1">
      <alignment horizontal="center" vertical="center" wrapText="1"/>
    </xf>
    <xf numFmtId="0" fontId="4" fillId="12" borderId="8" xfId="0" applyFont="1" applyFill="1" applyBorder="1" applyAlignment="1">
      <alignment horizontal="center" vertical="center" wrapText="1"/>
    </xf>
    <xf numFmtId="4" fontId="4" fillId="12" borderId="7" xfId="0" applyNumberFormat="1" applyFont="1" applyFill="1" applyBorder="1" applyAlignment="1">
      <alignment horizontal="center" vertical="center" wrapText="1"/>
    </xf>
    <xf numFmtId="4" fontId="4" fillId="12" borderId="8" xfId="0" applyNumberFormat="1" applyFont="1" applyFill="1" applyBorder="1" applyAlignment="1">
      <alignment horizontal="center" vertical="center" wrapText="1"/>
    </xf>
    <xf numFmtId="0" fontId="4" fillId="5" borderId="7" xfId="0" applyFont="1" applyFill="1" applyBorder="1" applyAlignment="1">
      <alignment horizontal="center" vertical="center" textRotation="90" wrapText="1"/>
    </xf>
    <xf numFmtId="0" fontId="4" fillId="5" borderId="9" xfId="0" applyFont="1" applyFill="1" applyBorder="1" applyAlignment="1">
      <alignment horizontal="center" vertical="center" textRotation="90" wrapText="1"/>
    </xf>
    <xf numFmtId="0" fontId="4" fillId="5" borderId="8" xfId="0" applyFont="1" applyFill="1" applyBorder="1" applyAlignment="1">
      <alignment horizontal="center" vertical="center" textRotation="90" wrapText="1"/>
    </xf>
    <xf numFmtId="0" fontId="0" fillId="4" borderId="7" xfId="0" applyFont="1" applyFill="1" applyBorder="1" applyAlignment="1">
      <alignment horizontal="center" vertical="center" textRotation="90" wrapText="1"/>
    </xf>
    <xf numFmtId="0" fontId="0" fillId="4" borderId="9" xfId="0" applyFont="1" applyFill="1" applyBorder="1" applyAlignment="1">
      <alignment horizontal="center" vertical="center" textRotation="90" wrapText="1"/>
    </xf>
    <xf numFmtId="0" fontId="0" fillId="4" borderId="8" xfId="0" applyFont="1" applyFill="1" applyBorder="1" applyAlignment="1">
      <alignment horizontal="center" vertical="center" textRotation="90" wrapText="1"/>
    </xf>
    <xf numFmtId="0" fontId="4" fillId="11" borderId="7" xfId="0" applyFont="1" applyFill="1" applyBorder="1" applyAlignment="1">
      <alignment horizontal="center" vertical="center" wrapText="1"/>
    </xf>
    <xf numFmtId="0" fontId="4" fillId="11" borderId="8" xfId="0" applyFont="1" applyFill="1" applyBorder="1" applyAlignment="1">
      <alignment horizontal="center" vertical="center" wrapText="1"/>
    </xf>
    <xf numFmtId="4" fontId="4" fillId="11" borderId="7" xfId="0" applyNumberFormat="1" applyFont="1" applyFill="1" applyBorder="1" applyAlignment="1">
      <alignment horizontal="center" vertical="center" wrapText="1" readingOrder="1"/>
    </xf>
    <xf numFmtId="4" fontId="4" fillId="11" borderId="8" xfId="0" applyNumberFormat="1" applyFont="1" applyFill="1" applyBorder="1" applyAlignment="1">
      <alignment horizontal="center" vertical="center" wrapText="1" readingOrder="1"/>
    </xf>
    <xf numFmtId="0" fontId="4" fillId="11" borderId="9" xfId="0" applyFont="1" applyFill="1" applyBorder="1" applyAlignment="1">
      <alignment horizontal="center" vertical="center" wrapText="1"/>
    </xf>
    <xf numFmtId="0" fontId="4" fillId="0" borderId="9" xfId="0" applyFont="1" applyBorder="1" applyAlignment="1">
      <alignment horizontal="center" vertical="center" wrapText="1"/>
    </xf>
    <xf numFmtId="4" fontId="4" fillId="11" borderId="9" xfId="0" applyNumberFormat="1" applyFont="1" applyFill="1" applyBorder="1" applyAlignment="1">
      <alignment horizontal="center" vertical="center" wrapText="1" readingOrder="1"/>
    </xf>
    <xf numFmtId="0" fontId="4" fillId="6" borderId="9" xfId="0" applyFont="1" applyFill="1" applyBorder="1" applyAlignment="1">
      <alignment horizontal="center" vertical="center" wrapText="1"/>
    </xf>
    <xf numFmtId="0" fontId="4" fillId="5" borderId="7" xfId="0" applyFont="1" applyFill="1" applyBorder="1" applyAlignment="1">
      <alignment horizontal="center" vertical="top" wrapText="1"/>
    </xf>
    <xf numFmtId="0" fontId="4" fillId="5" borderId="9" xfId="0" applyFont="1" applyFill="1" applyBorder="1" applyAlignment="1">
      <alignment horizontal="center" vertical="top" wrapText="1"/>
    </xf>
    <xf numFmtId="0" fontId="4" fillId="5" borderId="8" xfId="0" applyFont="1" applyFill="1" applyBorder="1" applyAlignment="1">
      <alignment horizontal="center" vertical="top" wrapText="1"/>
    </xf>
    <xf numFmtId="9" fontId="4" fillId="0" borderId="7" xfId="0" applyNumberFormat="1" applyFont="1" applyBorder="1" applyAlignment="1">
      <alignment horizontal="center" vertical="center" wrapText="1"/>
    </xf>
    <xf numFmtId="9" fontId="4" fillId="0" borderId="9" xfId="0" applyNumberFormat="1" applyFont="1" applyBorder="1" applyAlignment="1">
      <alignment horizontal="center" vertical="center" wrapText="1"/>
    </xf>
    <xf numFmtId="9" fontId="4" fillId="0" borderId="8" xfId="0" applyNumberFormat="1" applyFont="1" applyBorder="1" applyAlignment="1">
      <alignment horizontal="center" vertical="center" wrapText="1"/>
    </xf>
    <xf numFmtId="0" fontId="7" fillId="12" borderId="1" xfId="0" applyFont="1" applyFill="1" applyBorder="1" applyAlignment="1">
      <alignment horizontal="center" vertical="center" wrapText="1" readingOrder="1"/>
    </xf>
    <xf numFmtId="0" fontId="7" fillId="10" borderId="1" xfId="0" applyFont="1" applyFill="1" applyBorder="1" applyAlignment="1">
      <alignment horizontal="center" vertical="center" wrapText="1" readingOrder="1"/>
    </xf>
    <xf numFmtId="0" fontId="7" fillId="3" borderId="1" xfId="0" applyFont="1" applyFill="1" applyBorder="1" applyAlignment="1">
      <alignment horizontal="left"/>
    </xf>
    <xf numFmtId="0" fontId="4" fillId="13" borderId="7" xfId="0" applyFont="1" applyFill="1" applyBorder="1" applyAlignment="1">
      <alignment horizontal="center" vertical="center" wrapText="1" readingOrder="1"/>
    </xf>
    <xf numFmtId="0" fontId="4" fillId="13" borderId="8" xfId="0" applyFont="1" applyFill="1" applyBorder="1" applyAlignment="1">
      <alignment horizontal="center" vertical="center" wrapText="1" readingOrder="1"/>
    </xf>
    <xf numFmtId="4" fontId="4" fillId="12" borderId="7" xfId="0" applyNumberFormat="1" applyFont="1" applyFill="1" applyBorder="1" applyAlignment="1">
      <alignment horizontal="center" vertical="center" wrapText="1" readingOrder="1"/>
    </xf>
    <xf numFmtId="4" fontId="4" fillId="12" borderId="8" xfId="0" applyNumberFormat="1" applyFont="1" applyFill="1" applyBorder="1" applyAlignment="1">
      <alignment horizontal="center" vertical="center" wrapText="1" readingOrder="1"/>
    </xf>
    <xf numFmtId="0" fontId="7" fillId="4" borderId="1" xfId="0" applyFont="1" applyFill="1" applyBorder="1" applyAlignment="1">
      <alignment horizontal="center" vertical="center" wrapText="1" readingOrder="1"/>
    </xf>
    <xf numFmtId="0" fontId="7" fillId="5" borderId="1" xfId="0" applyFont="1" applyFill="1" applyBorder="1" applyAlignment="1">
      <alignment horizontal="center" vertical="center" wrapText="1" readingOrder="1"/>
    </xf>
    <xf numFmtId="0" fontId="7" fillId="11" borderId="1" xfId="0" applyFont="1" applyFill="1" applyBorder="1" applyAlignment="1">
      <alignment horizontal="center" vertical="center" wrapText="1" readingOrder="1"/>
    </xf>
    <xf numFmtId="0" fontId="7" fillId="6" borderId="1" xfId="0" applyFont="1" applyFill="1" applyBorder="1" applyAlignment="1">
      <alignment horizontal="center" vertical="center" wrapText="1" readingOrder="1"/>
    </xf>
    <xf numFmtId="0" fontId="4" fillId="0" borderId="1" xfId="0" applyFont="1" applyBorder="1" applyAlignment="1">
      <alignment horizontal="justify" vertical="center" wrapText="1"/>
    </xf>
    <xf numFmtId="0" fontId="4" fillId="0" borderId="10" xfId="0" applyFont="1" applyBorder="1" applyAlignment="1">
      <alignment horizontal="justify"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4" borderId="10"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14" borderId="7" xfId="0" applyFont="1" applyFill="1" applyBorder="1" applyAlignment="1">
      <alignment horizontal="center" vertical="center" wrapText="1"/>
    </xf>
    <xf numFmtId="0" fontId="4" fillId="14" borderId="9" xfId="0" applyFont="1" applyFill="1" applyBorder="1" applyAlignment="1">
      <alignment horizontal="center" vertical="center" wrapText="1"/>
    </xf>
    <xf numFmtId="0" fontId="4" fillId="14" borderId="8"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14" borderId="7" xfId="0" applyFont="1" applyFill="1" applyBorder="1" applyAlignment="1">
      <alignment horizontal="center" vertical="center" wrapText="1"/>
    </xf>
    <xf numFmtId="0" fontId="12" fillId="14" borderId="8"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2" fillId="9" borderId="7" xfId="0" applyFont="1" applyFill="1" applyBorder="1" applyAlignment="1">
      <alignment horizontal="center" vertical="center" wrapText="1"/>
    </xf>
    <xf numFmtId="0" fontId="12" fillId="9" borderId="8" xfId="0" applyFont="1" applyFill="1" applyBorder="1" applyAlignment="1">
      <alignment horizontal="center" vertical="center" wrapText="1"/>
    </xf>
    <xf numFmtId="0" fontId="12" fillId="10" borderId="7" xfId="0" applyFont="1" applyFill="1" applyBorder="1" applyAlignment="1">
      <alignment horizontal="center" vertical="center" wrapText="1"/>
    </xf>
    <xf numFmtId="0" fontId="12" fillId="10" borderId="8" xfId="0" applyFont="1" applyFill="1" applyBorder="1" applyAlignment="1">
      <alignment horizontal="center" vertical="center" wrapText="1"/>
    </xf>
    <xf numFmtId="0" fontId="12" fillId="10" borderId="11" xfId="0" applyFont="1" applyFill="1" applyBorder="1" applyAlignment="1">
      <alignment horizontal="center" vertical="center" wrapText="1"/>
    </xf>
    <xf numFmtId="0" fontId="12" fillId="10" borderId="13" xfId="0" applyFont="1" applyFill="1" applyBorder="1" applyAlignment="1">
      <alignment horizontal="center" vertical="center" wrapText="1"/>
    </xf>
    <xf numFmtId="0" fontId="12" fillId="10" borderId="4" xfId="0" applyFont="1" applyFill="1" applyBorder="1" applyAlignment="1">
      <alignment horizontal="center" vertical="center" wrapText="1"/>
    </xf>
    <xf numFmtId="0" fontId="12" fillId="10" borderId="6"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10" borderId="1"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12" fillId="10" borderId="10" xfId="0" applyFont="1" applyFill="1" applyBorder="1" applyAlignment="1">
      <alignment horizontal="center" vertical="center" wrapText="1"/>
    </xf>
    <xf numFmtId="0" fontId="12" fillId="10" borderId="3"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4" fillId="15" borderId="7" xfId="0" applyFont="1" applyFill="1" applyBorder="1" applyAlignment="1">
      <alignment horizontal="center" vertical="center" wrapText="1"/>
    </xf>
    <xf numFmtId="0" fontId="4" fillId="15" borderId="9" xfId="0" applyFont="1" applyFill="1" applyBorder="1" applyAlignment="1">
      <alignment horizontal="center" vertical="center" wrapText="1"/>
    </xf>
    <xf numFmtId="0" fontId="4" fillId="15" borderId="8" xfId="0" applyFont="1" applyFill="1" applyBorder="1" applyAlignment="1">
      <alignment horizontal="center" vertical="center" wrapText="1"/>
    </xf>
    <xf numFmtId="0" fontId="7" fillId="3" borderId="1" xfId="0" applyFont="1" applyFill="1" applyBorder="1" applyAlignment="1"/>
    <xf numFmtId="0" fontId="12" fillId="4" borderId="1" xfId="0" applyFont="1" applyFill="1" applyBorder="1" applyAlignment="1">
      <alignment horizontal="center" vertical="center" wrapText="1"/>
    </xf>
    <xf numFmtId="0" fontId="12" fillId="14"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4" fillId="0" borderId="0" xfId="0" applyFont="1" applyAlignment="1">
      <alignment horizontal="right" vertical="center" wrapText="1"/>
    </xf>
    <xf numFmtId="14" fontId="4" fillId="10" borderId="10" xfId="0" applyNumberFormat="1" applyFont="1" applyFill="1" applyBorder="1" applyAlignment="1">
      <alignment horizontal="center" vertical="center" wrapText="1"/>
    </xf>
    <xf numFmtId="0" fontId="4" fillId="10" borderId="3" xfId="0" applyFont="1" applyFill="1" applyBorder="1" applyAlignment="1">
      <alignment horizontal="center" vertical="center" wrapText="1"/>
    </xf>
    <xf numFmtId="0" fontId="6" fillId="16"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6" fillId="17" borderId="1" xfId="0" applyFont="1" applyFill="1" applyBorder="1" applyAlignment="1">
      <alignment horizontal="left" vertical="center"/>
    </xf>
    <xf numFmtId="0" fontId="6" fillId="17"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4" fillId="2" borderId="1" xfId="0" applyFont="1" applyFill="1" applyBorder="1" applyAlignment="1">
      <alignment horizontal="left" vertical="center" wrapText="1"/>
    </xf>
    <xf numFmtId="0" fontId="6" fillId="16" borderId="1" xfId="0" applyFont="1" applyFill="1" applyBorder="1" applyAlignment="1">
      <alignment horizontal="left" vertical="top"/>
    </xf>
    <xf numFmtId="0" fontId="6" fillId="16" borderId="1" xfId="0" applyFont="1" applyFill="1" applyBorder="1" applyAlignment="1">
      <alignment horizontal="left" vertical="center" wrapText="1"/>
    </xf>
    <xf numFmtId="0" fontId="4" fillId="0" borderId="1" xfId="0" applyFont="1" applyBorder="1" applyAlignment="1">
      <alignment horizontal="left" vertical="center"/>
    </xf>
    <xf numFmtId="0" fontId="6" fillId="16" borderId="12" xfId="0" applyFont="1" applyFill="1" applyBorder="1" applyAlignment="1">
      <alignment horizontal="center" vertical="center" wrapText="1"/>
    </xf>
    <xf numFmtId="0" fontId="6" fillId="16" borderId="0" xfId="0" applyFont="1" applyFill="1" applyBorder="1" applyAlignment="1">
      <alignment horizontal="center" vertical="center" wrapText="1"/>
    </xf>
    <xf numFmtId="0" fontId="6" fillId="16" borderId="12" xfId="0" applyFont="1" applyFill="1" applyBorder="1" applyAlignment="1">
      <alignment horizontal="center" vertical="center"/>
    </xf>
    <xf numFmtId="0" fontId="6" fillId="16" borderId="0" xfId="0" applyFont="1" applyFill="1" applyBorder="1" applyAlignment="1">
      <alignment horizontal="center" vertical="center"/>
    </xf>
    <xf numFmtId="0" fontId="6" fillId="16" borderId="1" xfId="0" applyFont="1" applyFill="1" applyBorder="1" applyAlignment="1">
      <alignment horizontal="left" vertical="center"/>
    </xf>
    <xf numFmtId="0" fontId="0" fillId="13" borderId="0" xfId="0" applyFill="1" applyAlignment="1">
      <alignment horizontal="center" vertical="center"/>
    </xf>
  </cellXfs>
  <cellStyles count="2">
    <cellStyle name="Normalny" xfId="0" builtinId="0"/>
    <cellStyle name="Procentowy"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tabSelected="1" workbookViewId="0">
      <selection activeCell="O7" sqref="O7"/>
    </sheetView>
  </sheetViews>
  <sheetFormatPr defaultRowHeight="14.4" x14ac:dyDescent="0.3"/>
  <sheetData>
    <row r="1" spans="1:14" x14ac:dyDescent="0.3">
      <c r="L1" s="115"/>
      <c r="M1" s="115"/>
      <c r="N1" s="115"/>
    </row>
    <row r="3" spans="1:14" ht="28.8" customHeight="1" x14ac:dyDescent="0.3">
      <c r="B3" s="116" t="s">
        <v>456</v>
      </c>
      <c r="C3" s="116"/>
      <c r="D3" s="116"/>
      <c r="E3" s="116"/>
      <c r="F3" s="116"/>
      <c r="G3" s="116"/>
      <c r="H3" s="116"/>
      <c r="I3" s="116"/>
      <c r="J3" s="114">
        <v>2022</v>
      </c>
      <c r="K3" s="114"/>
      <c r="L3" s="114"/>
      <c r="M3" s="1" t="s">
        <v>0</v>
      </c>
    </row>
    <row r="5" spans="1:14" ht="29.4" customHeight="1" x14ac:dyDescent="0.3">
      <c r="B5" s="113" t="s">
        <v>1</v>
      </c>
      <c r="C5" s="113"/>
      <c r="D5" s="113"/>
      <c r="E5" s="113"/>
      <c r="F5" s="114" t="s">
        <v>2</v>
      </c>
      <c r="G5" s="114"/>
      <c r="H5" s="114"/>
      <c r="I5" s="114"/>
      <c r="J5" s="114"/>
      <c r="K5" s="114"/>
      <c r="L5" s="114"/>
      <c r="M5" s="114"/>
    </row>
    <row r="6" spans="1:14" ht="30" customHeight="1" x14ac:dyDescent="0.3">
      <c r="F6" s="114"/>
      <c r="G6" s="114"/>
      <c r="H6" s="114"/>
      <c r="I6" s="114"/>
      <c r="J6" s="114"/>
      <c r="K6" s="114"/>
      <c r="L6" s="114"/>
      <c r="M6" s="114"/>
    </row>
    <row r="7" spans="1:14" ht="30" customHeight="1" x14ac:dyDescent="0.3"/>
    <row r="8" spans="1:14" ht="30" customHeight="1" x14ac:dyDescent="0.3">
      <c r="B8" s="113" t="s">
        <v>3</v>
      </c>
      <c r="C8" s="113"/>
      <c r="D8" s="113"/>
      <c r="E8" s="113"/>
      <c r="F8" s="117" t="s">
        <v>4</v>
      </c>
      <c r="G8" s="117"/>
      <c r="H8" s="117"/>
      <c r="I8" s="117"/>
      <c r="J8" s="117"/>
      <c r="K8" s="117"/>
      <c r="L8" s="117"/>
      <c r="M8" s="117"/>
    </row>
    <row r="10" spans="1:14" ht="29.4" customHeight="1" x14ac:dyDescent="0.3">
      <c r="B10" s="113" t="s">
        <v>5</v>
      </c>
      <c r="C10" s="113"/>
      <c r="D10" s="113"/>
      <c r="E10" s="113"/>
      <c r="F10" s="114" t="s">
        <v>6</v>
      </c>
      <c r="G10" s="114"/>
      <c r="H10" s="114"/>
      <c r="I10" s="114"/>
      <c r="J10" s="114"/>
      <c r="K10" s="114"/>
      <c r="L10" s="114"/>
      <c r="M10" s="114"/>
    </row>
    <row r="12" spans="1:14" ht="28.8" customHeight="1" x14ac:dyDescent="0.3">
      <c r="B12" s="113" t="s">
        <v>7</v>
      </c>
      <c r="C12" s="113"/>
      <c r="D12" s="113"/>
      <c r="E12" s="113"/>
      <c r="F12" s="2" t="s">
        <v>8</v>
      </c>
      <c r="G12" s="3" t="s">
        <v>9</v>
      </c>
      <c r="H12" s="2" t="s">
        <v>10</v>
      </c>
      <c r="I12" s="3" t="s">
        <v>9</v>
      </c>
      <c r="J12" s="297"/>
      <c r="K12" s="297"/>
      <c r="L12" s="297"/>
      <c r="M12" s="297"/>
    </row>
    <row r="16" spans="1:14" x14ac:dyDescent="0.3">
      <c r="A16" t="s">
        <v>11</v>
      </c>
    </row>
    <row r="17" spans="1:1" x14ac:dyDescent="0.3">
      <c r="A17" t="s">
        <v>12</v>
      </c>
    </row>
  </sheetData>
  <mergeCells count="10">
    <mergeCell ref="B10:E10"/>
    <mergeCell ref="F10:M10"/>
    <mergeCell ref="B12:E12"/>
    <mergeCell ref="L1:N1"/>
    <mergeCell ref="B3:I3"/>
    <mergeCell ref="J3:L3"/>
    <mergeCell ref="B5:E5"/>
    <mergeCell ref="F5:M6"/>
    <mergeCell ref="B8:E8"/>
    <mergeCell ref="F8:M8"/>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62"/>
  <sheetViews>
    <sheetView topLeftCell="A37" workbookViewId="0">
      <selection activeCell="L43" sqref="L43"/>
    </sheetView>
  </sheetViews>
  <sheetFormatPr defaultRowHeight="14.4" x14ac:dyDescent="0.3"/>
  <cols>
    <col min="2" max="2" width="12.88671875" customWidth="1"/>
    <col min="3" max="3" width="12.33203125" customWidth="1"/>
    <col min="4" max="4" width="7.6640625" customWidth="1"/>
    <col min="5" max="5" width="10.33203125" customWidth="1"/>
    <col min="6" max="6" width="11.109375" customWidth="1"/>
    <col min="7" max="7" width="11.21875" customWidth="1"/>
    <col min="9" max="9" width="10.77734375" customWidth="1"/>
    <col min="10" max="10" width="7.33203125" customWidth="1"/>
    <col min="11" max="11" width="12.6640625" customWidth="1"/>
    <col min="12" max="12" width="13.6640625" customWidth="1"/>
    <col min="14" max="14" width="11.5546875" customWidth="1"/>
  </cols>
  <sheetData>
    <row r="2" spans="1:15" x14ac:dyDescent="0.3">
      <c r="A2" s="4" t="s">
        <v>13</v>
      </c>
      <c r="B2" s="161" t="s">
        <v>14</v>
      </c>
      <c r="C2" s="161"/>
      <c r="D2" s="161"/>
      <c r="E2" s="161"/>
      <c r="F2" s="161"/>
      <c r="G2" s="161"/>
      <c r="H2" s="161"/>
      <c r="I2" s="161"/>
      <c r="J2" s="161"/>
      <c r="K2" s="161"/>
      <c r="L2" s="161"/>
      <c r="M2" s="161"/>
      <c r="N2" s="161"/>
      <c r="O2" s="162"/>
    </row>
    <row r="3" spans="1:15" x14ac:dyDescent="0.3">
      <c r="A3" s="5"/>
      <c r="B3" s="6"/>
      <c r="C3" s="6"/>
      <c r="D3" s="6"/>
      <c r="E3" s="6"/>
      <c r="F3" s="6"/>
      <c r="G3" s="6"/>
      <c r="H3" s="6"/>
      <c r="I3" s="6"/>
      <c r="J3" s="6"/>
      <c r="K3" s="6"/>
      <c r="L3" s="6"/>
      <c r="M3" s="6"/>
      <c r="N3" s="6"/>
      <c r="O3" s="7"/>
    </row>
    <row r="4" spans="1:15" x14ac:dyDescent="0.3">
      <c r="A4" s="163" t="s">
        <v>15</v>
      </c>
      <c r="B4" s="163"/>
      <c r="C4" s="163"/>
      <c r="D4" s="163"/>
      <c r="E4" s="164" t="s">
        <v>16</v>
      </c>
      <c r="F4" s="164"/>
      <c r="G4" s="164"/>
      <c r="H4" s="164"/>
      <c r="I4" s="165" t="s">
        <v>17</v>
      </c>
      <c r="J4" s="165"/>
      <c r="K4" s="165"/>
      <c r="L4" s="165"/>
      <c r="M4" s="165"/>
      <c r="N4" s="165"/>
      <c r="O4" s="165"/>
    </row>
    <row r="5" spans="1:15" x14ac:dyDescent="0.3">
      <c r="A5" s="163" t="s">
        <v>18</v>
      </c>
      <c r="B5" s="156" t="s">
        <v>19</v>
      </c>
      <c r="C5" s="156" t="s">
        <v>20</v>
      </c>
      <c r="D5" s="157" t="s">
        <v>21</v>
      </c>
      <c r="E5" s="164" t="s">
        <v>18</v>
      </c>
      <c r="F5" s="156" t="s">
        <v>19</v>
      </c>
      <c r="G5" s="156" t="s">
        <v>20</v>
      </c>
      <c r="H5" s="157" t="s">
        <v>21</v>
      </c>
      <c r="I5" s="158" t="s">
        <v>18</v>
      </c>
      <c r="J5" s="160" t="s">
        <v>22</v>
      </c>
      <c r="K5" s="156" t="s">
        <v>19</v>
      </c>
      <c r="L5" s="156" t="s">
        <v>23</v>
      </c>
      <c r="M5" s="156"/>
      <c r="N5" s="156" t="s">
        <v>24</v>
      </c>
      <c r="O5" s="156"/>
    </row>
    <row r="6" spans="1:15" ht="36" x14ac:dyDescent="0.3">
      <c r="A6" s="163"/>
      <c r="B6" s="156"/>
      <c r="C6" s="156"/>
      <c r="D6" s="157"/>
      <c r="E6" s="164"/>
      <c r="F6" s="156"/>
      <c r="G6" s="156"/>
      <c r="H6" s="157"/>
      <c r="I6" s="159"/>
      <c r="J6" s="160"/>
      <c r="K6" s="156"/>
      <c r="L6" s="8" t="s">
        <v>20</v>
      </c>
      <c r="M6" s="8" t="s">
        <v>21</v>
      </c>
      <c r="N6" s="8" t="s">
        <v>20</v>
      </c>
      <c r="O6" s="8" t="s">
        <v>21</v>
      </c>
    </row>
    <row r="7" spans="1:15" ht="45.6" customHeight="1" x14ac:dyDescent="0.3">
      <c r="A7" s="153" t="s">
        <v>39</v>
      </c>
      <c r="B7" s="135">
        <f>SUM(F7,F13,F17,F19)</f>
        <v>3714301.1781350002</v>
      </c>
      <c r="C7" s="135">
        <f>SUM(G7,G13,G17,G19)</f>
        <v>2740768.21</v>
      </c>
      <c r="D7" s="118">
        <f>C7*100/B7</f>
        <v>73.78960613463704</v>
      </c>
      <c r="E7" s="155" t="s">
        <v>30</v>
      </c>
      <c r="F7" s="135">
        <f>SUM(K7,K9,K11)</f>
        <v>157382.993135</v>
      </c>
      <c r="G7" s="135">
        <f>SUM(N7,N9,N11)</f>
        <v>119906.78</v>
      </c>
      <c r="H7" s="118">
        <f>G9*100/F9</f>
        <v>76.187888927202152</v>
      </c>
      <c r="I7" s="146" t="s">
        <v>76</v>
      </c>
      <c r="J7" s="148" t="s">
        <v>28</v>
      </c>
      <c r="K7" s="10">
        <f>K8*4.6855</f>
        <v>74824.483135000002</v>
      </c>
      <c r="L7" s="10">
        <v>69907</v>
      </c>
      <c r="M7" s="118">
        <f>L7*100/K7</f>
        <v>93.427975805555818</v>
      </c>
      <c r="N7" s="10">
        <v>69906.78</v>
      </c>
      <c r="O7" s="118">
        <f>N7*100/K7</f>
        <v>93.427681784146273</v>
      </c>
    </row>
    <row r="8" spans="1:15" ht="40.799999999999997" customHeight="1" x14ac:dyDescent="0.3">
      <c r="A8" s="141"/>
      <c r="B8" s="136"/>
      <c r="C8" s="136"/>
      <c r="D8" s="139"/>
      <c r="E8" s="155"/>
      <c r="F8" s="137"/>
      <c r="G8" s="137"/>
      <c r="H8" s="139"/>
      <c r="I8" s="147"/>
      <c r="J8" s="149"/>
      <c r="K8" s="11">
        <v>15969.37</v>
      </c>
      <c r="L8" s="72">
        <f>L7/4.6855</f>
        <v>14919.85913989969</v>
      </c>
      <c r="M8" s="119"/>
      <c r="N8" s="72">
        <f>N7/4.6855</f>
        <v>14919.812186532919</v>
      </c>
      <c r="O8" s="119"/>
    </row>
    <row r="9" spans="1:15" ht="28.2" customHeight="1" x14ac:dyDescent="0.3">
      <c r="A9" s="141"/>
      <c r="B9" s="136"/>
      <c r="C9" s="136"/>
      <c r="D9" s="139"/>
      <c r="E9" s="155"/>
      <c r="F9" s="133">
        <f>SUM(K8,K10,K12)</f>
        <v>33589.370000000003</v>
      </c>
      <c r="G9" s="133">
        <f>SUM(N8,N10,N12)</f>
        <v>25591.031906946962</v>
      </c>
      <c r="H9" s="139"/>
      <c r="I9" s="146" t="s">
        <v>77</v>
      </c>
      <c r="J9" s="148" t="s">
        <v>28</v>
      </c>
      <c r="K9" s="10">
        <f>K10*4.6855</f>
        <v>54445.51</v>
      </c>
      <c r="L9" s="10">
        <v>50000</v>
      </c>
      <c r="M9" s="118">
        <f>L9*100/K9</f>
        <v>91.834937352960779</v>
      </c>
      <c r="N9" s="10">
        <v>50000</v>
      </c>
      <c r="O9" s="118">
        <f>N9*100/K9</f>
        <v>91.834937352960779</v>
      </c>
    </row>
    <row r="10" spans="1:15" ht="20.399999999999999" customHeight="1" x14ac:dyDescent="0.3">
      <c r="A10" s="141"/>
      <c r="B10" s="136"/>
      <c r="C10" s="136"/>
      <c r="D10" s="139"/>
      <c r="E10" s="155"/>
      <c r="F10" s="138"/>
      <c r="G10" s="138"/>
      <c r="H10" s="139"/>
      <c r="I10" s="147"/>
      <c r="J10" s="149"/>
      <c r="K10" s="11">
        <v>11620</v>
      </c>
      <c r="L10" s="11">
        <f>L9/4.6855</f>
        <v>10671.219720414043</v>
      </c>
      <c r="M10" s="119"/>
      <c r="N10" s="11">
        <f>N9/4.6855</f>
        <v>10671.219720414043</v>
      </c>
      <c r="O10" s="119"/>
    </row>
    <row r="11" spans="1:15" ht="28.2" customHeight="1" x14ac:dyDescent="0.3">
      <c r="A11" s="141"/>
      <c r="B11" s="136"/>
      <c r="C11" s="136"/>
      <c r="D11" s="139"/>
      <c r="E11" s="155"/>
      <c r="F11" s="138"/>
      <c r="G11" s="138"/>
      <c r="H11" s="139"/>
      <c r="I11" s="146" t="s">
        <v>29</v>
      </c>
      <c r="J11" s="148" t="s">
        <v>28</v>
      </c>
      <c r="K11" s="10">
        <f>K12*4.6855</f>
        <v>28113</v>
      </c>
      <c r="L11" s="10">
        <v>0</v>
      </c>
      <c r="M11" s="118">
        <f>L11*100/K11</f>
        <v>0</v>
      </c>
      <c r="N11" s="10">
        <v>0</v>
      </c>
      <c r="O11" s="118">
        <f>N11*100/K11</f>
        <v>0</v>
      </c>
    </row>
    <row r="12" spans="1:15" ht="20.399999999999999" customHeight="1" x14ac:dyDescent="0.3">
      <c r="A12" s="141"/>
      <c r="B12" s="136"/>
      <c r="C12" s="136"/>
      <c r="D12" s="139"/>
      <c r="E12" s="155"/>
      <c r="F12" s="134"/>
      <c r="G12" s="134"/>
      <c r="H12" s="119"/>
      <c r="I12" s="147"/>
      <c r="J12" s="149"/>
      <c r="K12" s="11">
        <v>6000</v>
      </c>
      <c r="L12" s="72">
        <f>L11/4.6855</f>
        <v>0</v>
      </c>
      <c r="M12" s="119"/>
      <c r="N12" s="72">
        <f>N11*4.6855</f>
        <v>0</v>
      </c>
      <c r="O12" s="119"/>
    </row>
    <row r="13" spans="1:15" ht="24" customHeight="1" x14ac:dyDescent="0.3">
      <c r="A13" s="141"/>
      <c r="B13" s="136"/>
      <c r="C13" s="136"/>
      <c r="D13" s="139"/>
      <c r="E13" s="150" t="s">
        <v>34</v>
      </c>
      <c r="F13" s="135">
        <f>SUM(K13,K15)</f>
        <v>437118.185</v>
      </c>
      <c r="G13" s="135">
        <f>SUM(N13,N15)</f>
        <v>168657.83000000002</v>
      </c>
      <c r="H13" s="118">
        <f>G13*100/F13</f>
        <v>38.584034201185204</v>
      </c>
      <c r="I13" s="146" t="s">
        <v>31</v>
      </c>
      <c r="J13" s="148" t="s">
        <v>28</v>
      </c>
      <c r="K13" s="10">
        <f>K14*4.6855</f>
        <v>57303.665000000001</v>
      </c>
      <c r="L13" s="10">
        <v>53506</v>
      </c>
      <c r="M13" s="118">
        <f>L13*100/K13</f>
        <v>93.372736281353028</v>
      </c>
      <c r="N13" s="10">
        <v>53250.53</v>
      </c>
      <c r="O13" s="118">
        <f>N13*100/K13</f>
        <v>92.926918374243598</v>
      </c>
    </row>
    <row r="14" spans="1:15" ht="24.6" customHeight="1" x14ac:dyDescent="0.3">
      <c r="A14" s="141"/>
      <c r="B14" s="136"/>
      <c r="C14" s="136"/>
      <c r="D14" s="139"/>
      <c r="E14" s="152"/>
      <c r="F14" s="137"/>
      <c r="G14" s="137"/>
      <c r="H14" s="139"/>
      <c r="I14" s="147"/>
      <c r="J14" s="149"/>
      <c r="K14" s="11">
        <v>12230</v>
      </c>
      <c r="L14" s="11">
        <f>L13/4.6855</f>
        <v>11419.485647209476</v>
      </c>
      <c r="M14" s="119"/>
      <c r="N14" s="11">
        <f>N13/4.6855</f>
        <v>11364.962117169991</v>
      </c>
      <c r="O14" s="119"/>
    </row>
    <row r="15" spans="1:15" ht="36" customHeight="1" x14ac:dyDescent="0.3">
      <c r="A15" s="141"/>
      <c r="B15" s="136"/>
      <c r="C15" s="136"/>
      <c r="D15" s="139"/>
      <c r="E15" s="152"/>
      <c r="F15" s="133">
        <f>SUM(K14,K16)</f>
        <v>93291.683918471885</v>
      </c>
      <c r="G15" s="133">
        <f>SUM(N14,N16)</f>
        <v>35995.695229964782</v>
      </c>
      <c r="H15" s="139"/>
      <c r="I15" s="146" t="s">
        <v>32</v>
      </c>
      <c r="J15" s="148" t="s">
        <v>33</v>
      </c>
      <c r="K15" s="10">
        <v>379814.52</v>
      </c>
      <c r="L15" s="111">
        <v>296512.06</v>
      </c>
      <c r="M15" s="118">
        <f>L15*100/K15</f>
        <v>78.06759467752839</v>
      </c>
      <c r="N15" s="111">
        <v>115407.3</v>
      </c>
      <c r="O15" s="118">
        <f>N15*100/K15</f>
        <v>30.385173268257358</v>
      </c>
    </row>
    <row r="16" spans="1:15" ht="36.6" customHeight="1" x14ac:dyDescent="0.3">
      <c r="A16" s="141"/>
      <c r="B16" s="137"/>
      <c r="C16" s="137"/>
      <c r="D16" s="139"/>
      <c r="E16" s="151"/>
      <c r="F16" s="134"/>
      <c r="G16" s="134"/>
      <c r="H16" s="119"/>
      <c r="I16" s="147"/>
      <c r="J16" s="149"/>
      <c r="K16" s="11">
        <f>K15/4.6855</f>
        <v>81061.683918471885</v>
      </c>
      <c r="L16" s="11">
        <f>L15/4.6855</f>
        <v>63282.906840251839</v>
      </c>
      <c r="M16" s="119"/>
      <c r="N16" s="11">
        <f>N15/4.6855</f>
        <v>24630.733112794791</v>
      </c>
      <c r="O16" s="119"/>
    </row>
    <row r="17" spans="1:15" ht="92.4" customHeight="1" x14ac:dyDescent="0.3">
      <c r="A17" s="141"/>
      <c r="B17" s="133">
        <f>SUM(F9,F15,F18,F21)</f>
        <v>1908001.1095934263</v>
      </c>
      <c r="C17" s="133">
        <f>SUM(G9,G15,G18,G21)</f>
        <v>838073.55458328885</v>
      </c>
      <c r="D17" s="139"/>
      <c r="E17" s="150" t="s">
        <v>35</v>
      </c>
      <c r="F17" s="10"/>
      <c r="G17" s="10"/>
      <c r="H17" s="154" t="e">
        <f>G17*100/F17</f>
        <v>#DIV/0!</v>
      </c>
      <c r="I17" s="146" t="s">
        <v>78</v>
      </c>
      <c r="J17" s="148" t="s">
        <v>28</v>
      </c>
      <c r="K17" s="10">
        <f>K18*4.6855</f>
        <v>5225638.0208649999</v>
      </c>
      <c r="L17" s="10">
        <v>2090450</v>
      </c>
      <c r="M17" s="118">
        <f>L17*100/K17</f>
        <v>40.003727614756748</v>
      </c>
      <c r="N17" s="10">
        <v>1186025.43</v>
      </c>
      <c r="O17" s="154">
        <f>N17*100/K17</f>
        <v>22.696279866007199</v>
      </c>
    </row>
    <row r="18" spans="1:15" ht="91.8" customHeight="1" x14ac:dyDescent="0.3">
      <c r="A18" s="141"/>
      <c r="B18" s="138"/>
      <c r="C18" s="138"/>
      <c r="D18" s="139"/>
      <c r="E18" s="151"/>
      <c r="F18" s="11">
        <f>K18</f>
        <v>1115278.6299999999</v>
      </c>
      <c r="G18" s="11">
        <f>N18</f>
        <v>253126.7591505709</v>
      </c>
      <c r="H18" s="154"/>
      <c r="I18" s="147"/>
      <c r="J18" s="149"/>
      <c r="K18" s="11">
        <v>1115278.6299999999</v>
      </c>
      <c r="L18" s="11">
        <v>446153.02</v>
      </c>
      <c r="M18" s="119"/>
      <c r="N18" s="11">
        <f>N17/4.6855</f>
        <v>253126.7591505709</v>
      </c>
      <c r="O18" s="154"/>
    </row>
    <row r="19" spans="1:15" ht="24.6" customHeight="1" x14ac:dyDescent="0.3">
      <c r="A19" s="141"/>
      <c r="B19" s="138"/>
      <c r="C19" s="138"/>
      <c r="D19" s="139"/>
      <c r="E19" s="150" t="s">
        <v>38</v>
      </c>
      <c r="F19" s="135">
        <f>SUM(K19,K21)</f>
        <v>3119800</v>
      </c>
      <c r="G19" s="135">
        <f>SUM(N19,N21)</f>
        <v>2452203.6</v>
      </c>
      <c r="H19" s="118">
        <f>G19*100/F19</f>
        <v>78.601307776139492</v>
      </c>
      <c r="I19" s="146" t="s">
        <v>36</v>
      </c>
      <c r="J19" s="148" t="str">
        <f>J15</f>
        <v>RYBY</v>
      </c>
      <c r="K19" s="72">
        <v>2850000</v>
      </c>
      <c r="L19" s="73">
        <v>2984579.94</v>
      </c>
      <c r="M19" s="118">
        <f>L19*100/K19</f>
        <v>104.72210315789474</v>
      </c>
      <c r="N19" s="73">
        <v>2452203.6</v>
      </c>
      <c r="O19" s="118">
        <f>N19*100/K19</f>
        <v>86.042231578947366</v>
      </c>
    </row>
    <row r="20" spans="1:15" ht="18.600000000000001" customHeight="1" x14ac:dyDescent="0.3">
      <c r="A20" s="141"/>
      <c r="B20" s="138"/>
      <c r="C20" s="138"/>
      <c r="D20" s="139"/>
      <c r="E20" s="152"/>
      <c r="F20" s="137"/>
      <c r="G20" s="137"/>
      <c r="H20" s="139"/>
      <c r="I20" s="147"/>
      <c r="J20" s="149"/>
      <c r="K20" s="72">
        <f>K19/4.6855</f>
        <v>608259.52406360046</v>
      </c>
      <c r="L20" s="72">
        <f>L19/4.6855</f>
        <v>636982.16625760321</v>
      </c>
      <c r="M20" s="119"/>
      <c r="N20" s="72">
        <f>N19/4.6855</f>
        <v>523360.06829580618</v>
      </c>
      <c r="O20" s="119"/>
    </row>
    <row r="21" spans="1:15" ht="25.8" customHeight="1" x14ac:dyDescent="0.3">
      <c r="A21" s="141"/>
      <c r="B21" s="138"/>
      <c r="C21" s="138"/>
      <c r="D21" s="139"/>
      <c r="E21" s="152"/>
      <c r="F21" s="133">
        <f>SUM(K20,K22)</f>
        <v>665841.42567495466</v>
      </c>
      <c r="G21" s="133">
        <f>SUM(N20,N22)</f>
        <v>523360.06829580618</v>
      </c>
      <c r="H21" s="139"/>
      <c r="I21" s="146" t="s">
        <v>37</v>
      </c>
      <c r="J21" s="148" t="str">
        <f>J19</f>
        <v>RYBY</v>
      </c>
      <c r="K21" s="10">
        <v>269800</v>
      </c>
      <c r="L21" s="10">
        <v>269800</v>
      </c>
      <c r="M21" s="118">
        <f>L21*100/K21</f>
        <v>100</v>
      </c>
      <c r="N21" s="72">
        <v>0</v>
      </c>
      <c r="O21" s="118">
        <f>N21*100/K21</f>
        <v>0</v>
      </c>
    </row>
    <row r="22" spans="1:15" ht="22.8" customHeight="1" x14ac:dyDescent="0.3">
      <c r="A22" s="142"/>
      <c r="B22" s="134"/>
      <c r="C22" s="134"/>
      <c r="D22" s="119"/>
      <c r="E22" s="151"/>
      <c r="F22" s="134"/>
      <c r="G22" s="134"/>
      <c r="H22" s="119"/>
      <c r="I22" s="147"/>
      <c r="J22" s="149"/>
      <c r="K22" s="11">
        <f>K21/4.6855</f>
        <v>57581.901611354173</v>
      </c>
      <c r="L22" s="11">
        <f>L21/4.6855</f>
        <v>57581.901611354173</v>
      </c>
      <c r="M22" s="119"/>
      <c r="N22" s="72">
        <f>N21/4.6855</f>
        <v>0</v>
      </c>
      <c r="O22" s="119"/>
    </row>
    <row r="23" spans="1:15" ht="51" customHeight="1" x14ac:dyDescent="0.3">
      <c r="A23" s="153" t="s">
        <v>48</v>
      </c>
      <c r="B23" s="135">
        <f>SUM(F23,F27,F29)</f>
        <v>12341130.241</v>
      </c>
      <c r="C23" s="135">
        <f>SUM(G23,G27,G29)</f>
        <v>3152413.8499999996</v>
      </c>
      <c r="D23" s="118">
        <f>C23*100/B23</f>
        <v>25.543963870723722</v>
      </c>
      <c r="E23" s="150" t="s">
        <v>42</v>
      </c>
      <c r="F23" s="135">
        <f>SUM(K23,K25)</f>
        <v>6347952.8840000005</v>
      </c>
      <c r="G23" s="135"/>
      <c r="H23" s="118">
        <f>G23*100/F23</f>
        <v>0</v>
      </c>
      <c r="I23" s="146" t="s">
        <v>40</v>
      </c>
      <c r="J23" s="148" t="str">
        <f>J9</f>
        <v>PROW</v>
      </c>
      <c r="K23" s="10">
        <f>K24*4.6855</f>
        <v>2509390.4634700003</v>
      </c>
      <c r="L23" s="10">
        <v>1320000</v>
      </c>
      <c r="M23" s="154">
        <f>L23*100/K23</f>
        <v>52.602415575242766</v>
      </c>
      <c r="N23" s="10">
        <v>720000</v>
      </c>
      <c r="O23" s="154">
        <f>N23*100/K23</f>
        <v>28.692226677405145</v>
      </c>
    </row>
    <row r="24" spans="1:15" ht="51" customHeight="1" x14ac:dyDescent="0.3">
      <c r="A24" s="141"/>
      <c r="B24" s="136"/>
      <c r="C24" s="136"/>
      <c r="D24" s="139"/>
      <c r="E24" s="152"/>
      <c r="F24" s="137"/>
      <c r="G24" s="137"/>
      <c r="H24" s="139"/>
      <c r="I24" s="147"/>
      <c r="J24" s="149"/>
      <c r="K24" s="11">
        <v>535565.14</v>
      </c>
      <c r="L24" s="11">
        <f>L23/4.6855</f>
        <v>281720.20061893074</v>
      </c>
      <c r="M24" s="154"/>
      <c r="N24" s="11">
        <f>N23/4.6855</f>
        <v>153665.56397396221</v>
      </c>
      <c r="O24" s="154"/>
    </row>
    <row r="25" spans="1:15" ht="31.2" customHeight="1" x14ac:dyDescent="0.3">
      <c r="A25" s="141"/>
      <c r="B25" s="136"/>
      <c r="C25" s="136"/>
      <c r="D25" s="139"/>
      <c r="E25" s="152"/>
      <c r="F25" s="133">
        <f>SUM(K24,K26)</f>
        <v>1354808</v>
      </c>
      <c r="G25" s="133"/>
      <c r="H25" s="139"/>
      <c r="I25" s="146" t="s">
        <v>41</v>
      </c>
      <c r="J25" s="148" t="str">
        <f>J23</f>
        <v>PROW</v>
      </c>
      <c r="K25" s="10">
        <f>K26*4.6855</f>
        <v>3838562.4205300002</v>
      </c>
      <c r="L25" s="10">
        <v>3599207</v>
      </c>
      <c r="M25" s="118">
        <f>L25*100/K25</f>
        <v>93.764451523574493</v>
      </c>
      <c r="N25" s="10">
        <v>2369564.4500000002</v>
      </c>
      <c r="O25" s="118">
        <f>N25*100/K25</f>
        <v>61.730517584570848</v>
      </c>
    </row>
    <row r="26" spans="1:15" ht="30" customHeight="1" x14ac:dyDescent="0.3">
      <c r="A26" s="141"/>
      <c r="B26" s="136"/>
      <c r="C26" s="136"/>
      <c r="D26" s="139"/>
      <c r="E26" s="151"/>
      <c r="F26" s="134"/>
      <c r="G26" s="134"/>
      <c r="H26" s="119"/>
      <c r="I26" s="147"/>
      <c r="J26" s="149"/>
      <c r="K26" s="11">
        <v>819242.86</v>
      </c>
      <c r="L26" s="11">
        <f>L25/4.6855</f>
        <v>768158.57432504534</v>
      </c>
      <c r="M26" s="119"/>
      <c r="N26" s="11">
        <f>N25/4.6855</f>
        <v>505722.85775264114</v>
      </c>
      <c r="O26" s="119"/>
    </row>
    <row r="27" spans="1:15" ht="84" customHeight="1" x14ac:dyDescent="0.3">
      <c r="A27" s="141"/>
      <c r="B27" s="136"/>
      <c r="C27" s="136"/>
      <c r="D27" s="139"/>
      <c r="E27" s="150" t="s">
        <v>43</v>
      </c>
      <c r="F27" s="65">
        <f>K27</f>
        <v>600000</v>
      </c>
      <c r="G27" s="65">
        <f>N27</f>
        <v>303360.61</v>
      </c>
      <c r="H27" s="118">
        <f>G27*100/F27</f>
        <v>50.560101666666668</v>
      </c>
      <c r="I27" s="146" t="s">
        <v>79</v>
      </c>
      <c r="J27" s="148" t="str">
        <f>J21</f>
        <v>RYBY</v>
      </c>
      <c r="K27" s="10">
        <v>600000</v>
      </c>
      <c r="L27" s="111">
        <v>350960.61</v>
      </c>
      <c r="M27" s="154">
        <f>L27*100/K27</f>
        <v>58.493434999999998</v>
      </c>
      <c r="N27" s="111">
        <v>303360.61</v>
      </c>
      <c r="O27" s="154">
        <f>N27*100/K27</f>
        <v>50.560101666666668</v>
      </c>
    </row>
    <row r="28" spans="1:15" ht="95.4" customHeight="1" x14ac:dyDescent="0.3">
      <c r="A28" s="141"/>
      <c r="B28" s="136"/>
      <c r="C28" s="136"/>
      <c r="D28" s="139"/>
      <c r="E28" s="151"/>
      <c r="F28" s="64">
        <f>K28</f>
        <v>128054.63664496852</v>
      </c>
      <c r="G28" s="64">
        <f>N28</f>
        <v>64744.554476576668</v>
      </c>
      <c r="H28" s="119"/>
      <c r="I28" s="147"/>
      <c r="J28" s="149"/>
      <c r="K28" s="11">
        <f>K27/4.6855</f>
        <v>128054.63664496852</v>
      </c>
      <c r="L28" s="11">
        <f>L27/4.6855</f>
        <v>74903.555650410839</v>
      </c>
      <c r="M28" s="154"/>
      <c r="N28" s="11">
        <f>N27/4.6855</f>
        <v>64744.554476576668</v>
      </c>
      <c r="O28" s="154"/>
    </row>
    <row r="29" spans="1:15" ht="79.8" customHeight="1" x14ac:dyDescent="0.3">
      <c r="A29" s="141"/>
      <c r="B29" s="137"/>
      <c r="C29" s="137"/>
      <c r="D29" s="139"/>
      <c r="E29" s="150" t="s">
        <v>47</v>
      </c>
      <c r="F29" s="135">
        <f>SUM(K29,K31,K33,K35,K37)</f>
        <v>5393177.3569999998</v>
      </c>
      <c r="G29" s="135">
        <f>SUM(N29,N31,N33,N35,N37)</f>
        <v>2849053.2399999998</v>
      </c>
      <c r="H29" s="118">
        <f>G29*100/F29</f>
        <v>52.826989572336444</v>
      </c>
      <c r="I29" s="146" t="s">
        <v>80</v>
      </c>
      <c r="J29" s="148" t="str">
        <f>J27</f>
        <v>RYBY</v>
      </c>
      <c r="K29" s="10">
        <v>2700000</v>
      </c>
      <c r="L29" s="111">
        <v>2258952.36</v>
      </c>
      <c r="M29" s="118">
        <f>L29*100/K29</f>
        <v>83.664902222222224</v>
      </c>
      <c r="N29" s="10">
        <v>1683802.98</v>
      </c>
      <c r="O29" s="118">
        <f>N29*100/K29</f>
        <v>62.363073333333332</v>
      </c>
    </row>
    <row r="30" spans="1:15" ht="78" customHeight="1" x14ac:dyDescent="0.3">
      <c r="A30" s="141"/>
      <c r="B30" s="133">
        <f>SUM(F25,F28,F34)</f>
        <v>2633898.2479991466</v>
      </c>
      <c r="C30" s="133">
        <f>SUM(G25,G28,G34)</f>
        <v>672802.01686052722</v>
      </c>
      <c r="D30" s="139"/>
      <c r="E30" s="152"/>
      <c r="F30" s="136"/>
      <c r="G30" s="136"/>
      <c r="H30" s="139"/>
      <c r="I30" s="147"/>
      <c r="J30" s="149"/>
      <c r="K30" s="11">
        <f>K29/4.6855</f>
        <v>576245.86490235827</v>
      </c>
      <c r="L30" s="11">
        <f>L29/4.6855</f>
        <v>482115.53943015682</v>
      </c>
      <c r="M30" s="119"/>
      <c r="N30" s="11">
        <f>N29/4.6855</f>
        <v>359364.63130935864</v>
      </c>
      <c r="O30" s="119"/>
    </row>
    <row r="31" spans="1:15" ht="30.6" customHeight="1" x14ac:dyDescent="0.3">
      <c r="A31" s="141"/>
      <c r="B31" s="138"/>
      <c r="C31" s="138"/>
      <c r="D31" s="139"/>
      <c r="E31" s="152"/>
      <c r="F31" s="136"/>
      <c r="G31" s="136"/>
      <c r="H31" s="139"/>
      <c r="I31" s="146" t="s">
        <v>44</v>
      </c>
      <c r="J31" s="148" t="str">
        <f>J23</f>
        <v>PROW</v>
      </c>
      <c r="K31" s="10">
        <f>K32*4.6855</f>
        <v>234275</v>
      </c>
      <c r="L31" s="10">
        <v>200000</v>
      </c>
      <c r="M31" s="118">
        <f>L31*100/K31</f>
        <v>85.36975776331235</v>
      </c>
      <c r="N31" s="73">
        <v>0</v>
      </c>
      <c r="O31" s="118">
        <f>N31*100/K31</f>
        <v>0</v>
      </c>
    </row>
    <row r="32" spans="1:15" ht="33.6" customHeight="1" x14ac:dyDescent="0.3">
      <c r="A32" s="141"/>
      <c r="B32" s="138"/>
      <c r="C32" s="138"/>
      <c r="D32" s="139"/>
      <c r="E32" s="152"/>
      <c r="F32" s="136"/>
      <c r="G32" s="136"/>
      <c r="H32" s="139"/>
      <c r="I32" s="147"/>
      <c r="J32" s="149"/>
      <c r="K32" s="11">
        <v>50000</v>
      </c>
      <c r="L32" s="11">
        <f>L31/4.6855</f>
        <v>42684.878881656172</v>
      </c>
      <c r="M32" s="119"/>
      <c r="N32" s="11">
        <f>N31/4.6855</f>
        <v>0</v>
      </c>
      <c r="O32" s="119"/>
    </row>
    <row r="33" spans="1:15" ht="70.2" customHeight="1" x14ac:dyDescent="0.3">
      <c r="A33" s="141"/>
      <c r="B33" s="138"/>
      <c r="C33" s="138"/>
      <c r="D33" s="139"/>
      <c r="E33" s="152"/>
      <c r="F33" s="137"/>
      <c r="G33" s="137"/>
      <c r="H33" s="139"/>
      <c r="I33" s="146" t="s">
        <v>45</v>
      </c>
      <c r="J33" s="148" t="str">
        <f>J31</f>
        <v>PROW</v>
      </c>
      <c r="K33" s="10">
        <f>K34*4.6855</f>
        <v>1153073.4370000002</v>
      </c>
      <c r="L33" s="10">
        <v>960000</v>
      </c>
      <c r="M33" s="118">
        <f>L33*100/K33</f>
        <v>83.255755374755012</v>
      </c>
      <c r="N33" s="10">
        <v>780000</v>
      </c>
      <c r="O33" s="118">
        <f>N33*100/K33</f>
        <v>67.645301241988449</v>
      </c>
    </row>
    <row r="34" spans="1:15" ht="76.2" customHeight="1" x14ac:dyDescent="0.3">
      <c r="A34" s="141"/>
      <c r="B34" s="138"/>
      <c r="C34" s="138"/>
      <c r="D34" s="139"/>
      <c r="E34" s="152"/>
      <c r="F34" s="133">
        <f>SUM(K30,K32,K34,K36,K38)</f>
        <v>1151035.6113541778</v>
      </c>
      <c r="G34" s="133">
        <f>SUM(N30,N32,N34,N36,N38)</f>
        <v>608057.46238395059</v>
      </c>
      <c r="H34" s="139"/>
      <c r="I34" s="147"/>
      <c r="J34" s="149"/>
      <c r="K34" s="11">
        <v>246094</v>
      </c>
      <c r="L34" s="11">
        <f>L33/4.6855</f>
        <v>204887.41863194964</v>
      </c>
      <c r="M34" s="119"/>
      <c r="N34" s="11">
        <f>N33/4.6855</f>
        <v>166471.02763845905</v>
      </c>
      <c r="O34" s="119"/>
    </row>
    <row r="35" spans="1:15" ht="54" customHeight="1" x14ac:dyDescent="0.3">
      <c r="A35" s="141"/>
      <c r="B35" s="138"/>
      <c r="C35" s="138"/>
      <c r="D35" s="139"/>
      <c r="E35" s="152"/>
      <c r="F35" s="138"/>
      <c r="G35" s="138"/>
      <c r="H35" s="139"/>
      <c r="I35" s="146" t="s">
        <v>46</v>
      </c>
      <c r="J35" s="148" t="str">
        <f>J29</f>
        <v>RYBY</v>
      </c>
      <c r="K35" s="10">
        <v>1255828.92</v>
      </c>
      <c r="L35" s="111">
        <v>633515.21</v>
      </c>
      <c r="M35" s="118">
        <f>L35*100/K35</f>
        <v>50.445980333053647</v>
      </c>
      <c r="N35" s="10">
        <v>341534</v>
      </c>
      <c r="O35" s="118">
        <f>N35*100/K35</f>
        <v>27.195901811211677</v>
      </c>
    </row>
    <row r="36" spans="1:15" ht="58.8" customHeight="1" x14ac:dyDescent="0.3">
      <c r="A36" s="141"/>
      <c r="B36" s="138"/>
      <c r="C36" s="138"/>
      <c r="D36" s="139"/>
      <c r="E36" s="152"/>
      <c r="F36" s="138"/>
      <c r="G36" s="138"/>
      <c r="H36" s="139"/>
      <c r="I36" s="147"/>
      <c r="J36" s="149"/>
      <c r="K36" s="17">
        <f>K35/4.6855</f>
        <v>268024.52673140535</v>
      </c>
      <c r="L36" s="17">
        <f>L35/4.6855</f>
        <v>135207.60004268488</v>
      </c>
      <c r="M36" s="119"/>
      <c r="N36" s="11">
        <f>N35/4.6855</f>
        <v>72891.687119837792</v>
      </c>
      <c r="O36" s="119"/>
    </row>
    <row r="37" spans="1:15" ht="37.799999999999997" customHeight="1" x14ac:dyDescent="0.3">
      <c r="A37" s="141"/>
      <c r="B37" s="138"/>
      <c r="C37" s="138"/>
      <c r="D37" s="139"/>
      <c r="E37" s="152"/>
      <c r="F37" s="138"/>
      <c r="G37" s="138"/>
      <c r="H37" s="139"/>
      <c r="I37" s="146" t="s">
        <v>81</v>
      </c>
      <c r="J37" s="148" t="str">
        <f>J35</f>
        <v>RYBY</v>
      </c>
      <c r="K37" s="10">
        <v>50000</v>
      </c>
      <c r="L37" s="10">
        <v>43716.26</v>
      </c>
      <c r="M37" s="118">
        <f>L37*100/K37</f>
        <v>87.432519999999997</v>
      </c>
      <c r="N37" s="10">
        <v>43716.26</v>
      </c>
      <c r="O37" s="118">
        <f>N37*100/K37</f>
        <v>87.432519999999997</v>
      </c>
    </row>
    <row r="38" spans="1:15" ht="34.200000000000003" customHeight="1" x14ac:dyDescent="0.3">
      <c r="A38" s="142"/>
      <c r="B38" s="134"/>
      <c r="C38" s="134"/>
      <c r="D38" s="119"/>
      <c r="E38" s="151"/>
      <c r="F38" s="134"/>
      <c r="G38" s="134"/>
      <c r="H38" s="119"/>
      <c r="I38" s="147"/>
      <c r="J38" s="149"/>
      <c r="K38" s="11">
        <f>K37/4.6855</f>
        <v>10671.219720414043</v>
      </c>
      <c r="L38" s="11">
        <f>L37/4.6855</f>
        <v>9330.1163162949524</v>
      </c>
      <c r="M38" s="119"/>
      <c r="N38" s="11">
        <f>N37/4.6855</f>
        <v>9330.1163162949524</v>
      </c>
      <c r="O38" s="119"/>
    </row>
    <row r="39" spans="1:15" ht="50.4" customHeight="1" x14ac:dyDescent="0.3">
      <c r="A39" s="140" t="s">
        <v>53</v>
      </c>
      <c r="B39" s="135">
        <f>SUM(F39,F41)</f>
        <v>7560556.5600000005</v>
      </c>
      <c r="C39" s="135">
        <f>SUM(G39,G41)</f>
        <v>4538380.1100000003</v>
      </c>
      <c r="D39" s="118">
        <f>C39*100/B39</f>
        <v>60.027063801239528</v>
      </c>
      <c r="E39" s="150" t="s">
        <v>51</v>
      </c>
      <c r="F39" s="65">
        <f>K39</f>
        <v>6081200</v>
      </c>
      <c r="G39" s="65">
        <f>N39</f>
        <v>3655641.93</v>
      </c>
      <c r="H39" s="118">
        <f>G39*100/F39</f>
        <v>60.113825067420905</v>
      </c>
      <c r="I39" s="146" t="s">
        <v>49</v>
      </c>
      <c r="J39" s="148" t="str">
        <f>J37</f>
        <v>RYBY</v>
      </c>
      <c r="K39" s="10">
        <v>6081200</v>
      </c>
      <c r="L39" s="10">
        <v>4962932.6100000003</v>
      </c>
      <c r="M39" s="118">
        <f>L39*100/K39</f>
        <v>81.611073636782223</v>
      </c>
      <c r="N39" s="10">
        <v>3655641.93</v>
      </c>
      <c r="O39" s="118">
        <f>N39*100/K39</f>
        <v>60.113825067420905</v>
      </c>
    </row>
    <row r="40" spans="1:15" ht="48" customHeight="1" x14ac:dyDescent="0.3">
      <c r="A40" s="141"/>
      <c r="B40" s="136"/>
      <c r="C40" s="136"/>
      <c r="D40" s="139"/>
      <c r="E40" s="151"/>
      <c r="F40" s="64">
        <f>K40</f>
        <v>1297876.4272756376</v>
      </c>
      <c r="G40" s="64">
        <f>N40</f>
        <v>780203.16508376913</v>
      </c>
      <c r="H40" s="119"/>
      <c r="I40" s="147"/>
      <c r="J40" s="149"/>
      <c r="K40" s="11">
        <f>K39/4.6855</f>
        <v>1297876.4272756376</v>
      </c>
      <c r="L40" s="11">
        <f>L39/4.6855</f>
        <v>1059210.8867783588</v>
      </c>
      <c r="M40" s="119"/>
      <c r="N40" s="11">
        <f>N39/4.6855</f>
        <v>780203.16508376913</v>
      </c>
      <c r="O40" s="119"/>
    </row>
    <row r="41" spans="1:15" ht="43.2" customHeight="1" x14ac:dyDescent="0.3">
      <c r="A41" s="141"/>
      <c r="B41" s="137"/>
      <c r="C41" s="137"/>
      <c r="D41" s="139"/>
      <c r="E41" s="150" t="s">
        <v>52</v>
      </c>
      <c r="F41" s="135">
        <f>SUM(K41,K43)</f>
        <v>1479356.56</v>
      </c>
      <c r="G41" s="135">
        <f>SUM(N41,N43)</f>
        <v>882738.18</v>
      </c>
      <c r="H41" s="118">
        <f>G41*100/F41</f>
        <v>59.670413737172325</v>
      </c>
      <c r="I41" s="146" t="s">
        <v>82</v>
      </c>
      <c r="J41" s="148" t="str">
        <f>J39</f>
        <v>RYBY</v>
      </c>
      <c r="K41" s="10">
        <v>1464356.56</v>
      </c>
      <c r="L41" s="111">
        <v>1805141.62</v>
      </c>
      <c r="M41" s="118">
        <f>L41*100/K41</f>
        <v>123.27200009265502</v>
      </c>
      <c r="N41" s="111">
        <v>882738.18</v>
      </c>
      <c r="O41" s="118">
        <f>N41*100/K41</f>
        <v>60.281642061275022</v>
      </c>
    </row>
    <row r="42" spans="1:15" ht="48" customHeight="1" x14ac:dyDescent="0.3">
      <c r="A42" s="141"/>
      <c r="B42" s="133">
        <f>SUM(F40,F43)</f>
        <v>1613607.2052075551</v>
      </c>
      <c r="C42" s="133">
        <f>SUM(G40,G43)</f>
        <v>968601.02657133713</v>
      </c>
      <c r="D42" s="139"/>
      <c r="E42" s="152"/>
      <c r="F42" s="137"/>
      <c r="G42" s="137"/>
      <c r="H42" s="139"/>
      <c r="I42" s="147"/>
      <c r="J42" s="149"/>
      <c r="K42" s="11">
        <f>K41/4.6855</f>
        <v>312529.41201579338</v>
      </c>
      <c r="L42" s="11">
        <f>L41/4.6855</f>
        <v>385261.25706968305</v>
      </c>
      <c r="M42" s="119"/>
      <c r="N42" s="11">
        <f>N41/4.6855</f>
        <v>188397.86148756804</v>
      </c>
      <c r="O42" s="119"/>
    </row>
    <row r="43" spans="1:15" ht="49.8" customHeight="1" x14ac:dyDescent="0.3">
      <c r="A43" s="141"/>
      <c r="B43" s="138"/>
      <c r="C43" s="138"/>
      <c r="D43" s="139"/>
      <c r="E43" s="152"/>
      <c r="F43" s="133">
        <f>SUM(K42,K44)</f>
        <v>315730.77793191758</v>
      </c>
      <c r="G43" s="133">
        <f>SUM(N42,N44)</f>
        <v>188397.86148756804</v>
      </c>
      <c r="H43" s="139"/>
      <c r="I43" s="146" t="s">
        <v>50</v>
      </c>
      <c r="J43" s="148" t="str">
        <f>J41</f>
        <v>RYBY</v>
      </c>
      <c r="K43" s="10">
        <v>15000</v>
      </c>
      <c r="L43" s="10">
        <v>15000</v>
      </c>
      <c r="M43" s="118">
        <f>L43*100/K43</f>
        <v>100</v>
      </c>
      <c r="N43" s="72">
        <v>0</v>
      </c>
      <c r="O43" s="118">
        <f>N43*100/K43</f>
        <v>0</v>
      </c>
    </row>
    <row r="44" spans="1:15" ht="39.6" customHeight="1" x14ac:dyDescent="0.3">
      <c r="A44" s="142"/>
      <c r="B44" s="134"/>
      <c r="C44" s="134"/>
      <c r="D44" s="119"/>
      <c r="E44" s="151"/>
      <c r="F44" s="134"/>
      <c r="G44" s="134"/>
      <c r="H44" s="119"/>
      <c r="I44" s="147"/>
      <c r="J44" s="149"/>
      <c r="K44" s="11">
        <f>K43/4.6855</f>
        <v>3201.3659161242131</v>
      </c>
      <c r="L44" s="11">
        <f>L43/4.6855</f>
        <v>3201.3659161242131</v>
      </c>
      <c r="M44" s="119"/>
      <c r="N44" s="72">
        <f>N43/4.6855</f>
        <v>0</v>
      </c>
      <c r="O44" s="119"/>
    </row>
    <row r="45" spans="1:15" ht="21" customHeight="1" x14ac:dyDescent="0.3">
      <c r="A45" s="120" t="s">
        <v>25</v>
      </c>
      <c r="B45" s="121"/>
      <c r="C45" s="121"/>
      <c r="D45" s="121"/>
      <c r="E45" s="121"/>
      <c r="F45" s="121"/>
      <c r="G45" s="121"/>
      <c r="H45" s="121"/>
      <c r="I45" s="121"/>
      <c r="J45" s="121"/>
      <c r="K45" s="122"/>
      <c r="L45" s="68">
        <f>SUM(L7,L9,L11,L13,L15,L17,L19,L21,L23,L25,L27,L29,L31,L33,L35,L37,L39,L41,L43)</f>
        <v>21964180.670000002</v>
      </c>
      <c r="M45" s="143" t="s">
        <v>26</v>
      </c>
      <c r="N45" s="68">
        <f>SUM(N7,N9,N11,N13,N15,N17,N19,N21,N23,N25,N27,N29,N31,N33,N35,N37,N39,N41,N43)</f>
        <v>14707152.050000001</v>
      </c>
      <c r="O45" s="143" t="s">
        <v>26</v>
      </c>
    </row>
    <row r="46" spans="1:15" x14ac:dyDescent="0.3">
      <c r="A46" s="123"/>
      <c r="B46" s="124"/>
      <c r="C46" s="124"/>
      <c r="D46" s="124"/>
      <c r="E46" s="124"/>
      <c r="F46" s="124"/>
      <c r="G46" s="124"/>
      <c r="H46" s="124"/>
      <c r="I46" s="124"/>
      <c r="J46" s="124"/>
      <c r="K46" s="125"/>
      <c r="L46" s="69">
        <f>SUM(L8,L10,L12,L14,L16,L18,L20,L22,L24,L26,L28,L30,L32,L34,L36,L38,L40,L42,L44)</f>
        <v>4687691.9528780272</v>
      </c>
      <c r="M46" s="144"/>
      <c r="N46" s="69">
        <f>SUM(N8,N10,N12,N14,N16,N18,N20,N22,N24,N26,N28,N30,N32,N34,N36,N38,N40,N42,N44)</f>
        <v>3138865.0197417564</v>
      </c>
      <c r="O46" s="144"/>
    </row>
    <row r="47" spans="1:15" ht="19.2" customHeight="1" x14ac:dyDescent="0.3">
      <c r="A47" s="126" t="s">
        <v>27</v>
      </c>
      <c r="B47" s="127"/>
      <c r="C47" s="127"/>
      <c r="D47" s="127"/>
      <c r="E47" s="127"/>
      <c r="F47" s="127"/>
      <c r="G47" s="127"/>
      <c r="H47" s="127"/>
      <c r="I47" s="127"/>
      <c r="J47" s="127"/>
      <c r="K47" s="128"/>
      <c r="L47" s="71">
        <f>SUM(L7,L9,L11,L13,L17,L23,L25,L31,L33)</f>
        <v>8343070</v>
      </c>
      <c r="M47" s="144"/>
      <c r="N47" s="71">
        <f>SUM(N7,N9,N11,N13,N17,N23,N25,N31,N33)</f>
        <v>5228747.1900000004</v>
      </c>
      <c r="O47" s="144"/>
    </row>
    <row r="48" spans="1:15" ht="14.4" customHeight="1" x14ac:dyDescent="0.3">
      <c r="A48" s="129"/>
      <c r="B48" s="130"/>
      <c r="C48" s="130"/>
      <c r="D48" s="130"/>
      <c r="E48" s="130"/>
      <c r="F48" s="130"/>
      <c r="G48" s="130"/>
      <c r="H48" s="130"/>
      <c r="I48" s="130"/>
      <c r="J48" s="130"/>
      <c r="K48" s="131"/>
      <c r="L48" s="70">
        <f>SUM(L8,L10,L12,L14,L18,L24,L26,L32,L34)</f>
        <v>1780614.6569651051</v>
      </c>
      <c r="M48" s="145"/>
      <c r="N48" s="70">
        <f>SUM(N8,N10,N12,N14,N18,N26,N32,N34,N24)</f>
        <v>1115942.2025397504</v>
      </c>
      <c r="O48" s="145"/>
    </row>
    <row r="51" spans="1:15" ht="46.2" customHeight="1" x14ac:dyDescent="0.3">
      <c r="A51" s="132" t="s">
        <v>54</v>
      </c>
      <c r="B51" s="132"/>
      <c r="C51" s="132"/>
      <c r="D51" s="132"/>
      <c r="E51" s="132"/>
      <c r="F51" s="132"/>
      <c r="G51" s="132"/>
      <c r="H51" s="132"/>
      <c r="I51" s="132"/>
      <c r="J51" s="132"/>
      <c r="K51" s="132"/>
      <c r="L51" s="132"/>
      <c r="M51" s="132"/>
      <c r="N51" s="132"/>
      <c r="O51" s="132"/>
    </row>
    <row r="52" spans="1:15" ht="57.6" customHeight="1" x14ac:dyDescent="0.3">
      <c r="A52" s="132" t="s">
        <v>55</v>
      </c>
      <c r="B52" s="132"/>
      <c r="C52" s="132"/>
      <c r="D52" s="132"/>
      <c r="E52" s="132"/>
      <c r="F52" s="132"/>
      <c r="G52" s="132"/>
      <c r="H52" s="132"/>
      <c r="I52" s="132"/>
      <c r="J52" s="132"/>
      <c r="K52" s="132"/>
      <c r="L52" s="132"/>
      <c r="M52" s="132"/>
      <c r="N52" s="132"/>
      <c r="O52" s="132"/>
    </row>
    <row r="53" spans="1:15" ht="24" customHeight="1" x14ac:dyDescent="0.3">
      <c r="A53" s="132" t="s">
        <v>56</v>
      </c>
      <c r="B53" s="132"/>
      <c r="C53" s="132"/>
      <c r="D53" s="132"/>
      <c r="E53" s="132"/>
      <c r="F53" s="132"/>
      <c r="G53" s="132"/>
      <c r="H53" s="132"/>
      <c r="I53" s="132"/>
      <c r="J53" s="132"/>
      <c r="K53" s="132"/>
      <c r="L53" s="132"/>
      <c r="M53" s="132"/>
      <c r="N53" s="132"/>
      <c r="O53" s="132"/>
    </row>
    <row r="54" spans="1:15" ht="18" customHeight="1" x14ac:dyDescent="0.3">
      <c r="A54" s="132" t="s">
        <v>57</v>
      </c>
      <c r="B54" s="132"/>
      <c r="C54" s="132"/>
      <c r="D54" s="132"/>
      <c r="E54" s="132"/>
      <c r="F54" s="132"/>
      <c r="G54" s="132"/>
      <c r="H54" s="132"/>
      <c r="I54" s="132"/>
      <c r="J54" s="132"/>
      <c r="K54" s="132"/>
      <c r="L54" s="132"/>
      <c r="M54" s="132"/>
      <c r="N54" s="132"/>
      <c r="O54" s="132"/>
    </row>
    <row r="55" spans="1:15" ht="16.8" customHeight="1" x14ac:dyDescent="0.3">
      <c r="A55" s="132" t="s">
        <v>58</v>
      </c>
      <c r="B55" s="132"/>
      <c r="C55" s="132"/>
      <c r="D55" s="132"/>
      <c r="E55" s="132"/>
      <c r="F55" s="132"/>
      <c r="G55" s="132"/>
      <c r="H55" s="132"/>
      <c r="I55" s="132"/>
      <c r="J55" s="132"/>
      <c r="K55" s="132"/>
      <c r="L55" s="132"/>
      <c r="M55" s="132"/>
      <c r="N55" s="132"/>
      <c r="O55" s="132"/>
    </row>
    <row r="61" spans="1:15" x14ac:dyDescent="0.3">
      <c r="B61" s="66">
        <v>44924</v>
      </c>
      <c r="C61" s="67">
        <v>4.6855000000000002</v>
      </c>
    </row>
    <row r="62" spans="1:15" x14ac:dyDescent="0.3">
      <c r="B62" s="66">
        <v>44925</v>
      </c>
      <c r="C62" s="67">
        <v>4.6807999999999996</v>
      </c>
    </row>
  </sheetData>
  <mergeCells count="162">
    <mergeCell ref="N5:O5"/>
    <mergeCell ref="G5:G6"/>
    <mergeCell ref="H5:H6"/>
    <mergeCell ref="I5:I6"/>
    <mergeCell ref="J5:J6"/>
    <mergeCell ref="K5:K6"/>
    <mergeCell ref="L5:M5"/>
    <mergeCell ref="B2:O2"/>
    <mergeCell ref="A4:D4"/>
    <mergeCell ref="E4:H4"/>
    <mergeCell ref="I4:O4"/>
    <mergeCell ref="A5:A6"/>
    <mergeCell ref="B5:B6"/>
    <mergeCell ref="C5:C6"/>
    <mergeCell ref="D5:D6"/>
    <mergeCell ref="E5:E6"/>
    <mergeCell ref="F5:F6"/>
    <mergeCell ref="J21:J22"/>
    <mergeCell ref="M21:M22"/>
    <mergeCell ref="O7:O8"/>
    <mergeCell ref="M9:M10"/>
    <mergeCell ref="O9:O10"/>
    <mergeCell ref="I9:I10"/>
    <mergeCell ref="E13:E16"/>
    <mergeCell ref="F13:F14"/>
    <mergeCell ref="G13:G14"/>
    <mergeCell ref="F15:F16"/>
    <mergeCell ref="O13:O14"/>
    <mergeCell ref="J13:J14"/>
    <mergeCell ref="I13:I14"/>
    <mergeCell ref="J15:J16"/>
    <mergeCell ref="I15:I16"/>
    <mergeCell ref="M15:M16"/>
    <mergeCell ref="O15:O16"/>
    <mergeCell ref="J9:J10"/>
    <mergeCell ref="I11:I12"/>
    <mergeCell ref="J11:J12"/>
    <mergeCell ref="O21:O22"/>
    <mergeCell ref="E19:E22"/>
    <mergeCell ref="F19:F20"/>
    <mergeCell ref="G19:G20"/>
    <mergeCell ref="A7:A22"/>
    <mergeCell ref="B7:B16"/>
    <mergeCell ref="C7:C16"/>
    <mergeCell ref="D7:D22"/>
    <mergeCell ref="B17:B22"/>
    <mergeCell ref="C17:C22"/>
    <mergeCell ref="I21:I22"/>
    <mergeCell ref="G15:G16"/>
    <mergeCell ref="H13:H16"/>
    <mergeCell ref="G21:G22"/>
    <mergeCell ref="H19:H22"/>
    <mergeCell ref="I19:I20"/>
    <mergeCell ref="I17:I18"/>
    <mergeCell ref="F21:F22"/>
    <mergeCell ref="O23:O24"/>
    <mergeCell ref="J25:J26"/>
    <mergeCell ref="M25:M26"/>
    <mergeCell ref="O25:O26"/>
    <mergeCell ref="I25:I26"/>
    <mergeCell ref="M13:M14"/>
    <mergeCell ref="E7:E12"/>
    <mergeCell ref="F7:F8"/>
    <mergeCell ref="F9:F12"/>
    <mergeCell ref="G7:G8"/>
    <mergeCell ref="G9:G12"/>
    <mergeCell ref="H7:H12"/>
    <mergeCell ref="J7:J8"/>
    <mergeCell ref="I7:I8"/>
    <mergeCell ref="M7:M8"/>
    <mergeCell ref="M11:M12"/>
    <mergeCell ref="E17:E18"/>
    <mergeCell ref="H17:H18"/>
    <mergeCell ref="M17:M18"/>
    <mergeCell ref="O17:O18"/>
    <mergeCell ref="J19:J20"/>
    <mergeCell ref="M19:M20"/>
    <mergeCell ref="O19:O20"/>
    <mergeCell ref="J17:J18"/>
    <mergeCell ref="E23:E26"/>
    <mergeCell ref="F23:F24"/>
    <mergeCell ref="G23:G24"/>
    <mergeCell ref="F25:F26"/>
    <mergeCell ref="G25:G26"/>
    <mergeCell ref="H23:H26"/>
    <mergeCell ref="J23:J24"/>
    <mergeCell ref="I23:I24"/>
    <mergeCell ref="M23:M24"/>
    <mergeCell ref="I29:I30"/>
    <mergeCell ref="J29:J30"/>
    <mergeCell ref="M27:M28"/>
    <mergeCell ref="O27:O28"/>
    <mergeCell ref="H29:H38"/>
    <mergeCell ref="M37:M38"/>
    <mergeCell ref="O37:O38"/>
    <mergeCell ref="M29:M30"/>
    <mergeCell ref="O29:O30"/>
    <mergeCell ref="A23:A38"/>
    <mergeCell ref="M35:M36"/>
    <mergeCell ref="O35:O36"/>
    <mergeCell ref="J35:J36"/>
    <mergeCell ref="J37:J38"/>
    <mergeCell ref="E29:E38"/>
    <mergeCell ref="F34:F38"/>
    <mergeCell ref="G34:G38"/>
    <mergeCell ref="J31:J32"/>
    <mergeCell ref="M31:M32"/>
    <mergeCell ref="O31:O32"/>
    <mergeCell ref="J33:J34"/>
    <mergeCell ref="M33:M34"/>
    <mergeCell ref="O33:O34"/>
    <mergeCell ref="E27:E28"/>
    <mergeCell ref="H27:H28"/>
    <mergeCell ref="I31:I32"/>
    <mergeCell ref="I33:I34"/>
    <mergeCell ref="I35:I36"/>
    <mergeCell ref="I37:I38"/>
    <mergeCell ref="F29:F33"/>
    <mergeCell ref="G29:G33"/>
    <mergeCell ref="I27:I28"/>
    <mergeCell ref="J27:J28"/>
    <mergeCell ref="J43:J44"/>
    <mergeCell ref="M43:M44"/>
    <mergeCell ref="O43:O44"/>
    <mergeCell ref="E39:E40"/>
    <mergeCell ref="E41:E44"/>
    <mergeCell ref="F41:F42"/>
    <mergeCell ref="G41:G42"/>
    <mergeCell ref="H39:H40"/>
    <mergeCell ref="H41:H44"/>
    <mergeCell ref="I39:I40"/>
    <mergeCell ref="J39:J40"/>
    <mergeCell ref="M39:M40"/>
    <mergeCell ref="O39:O40"/>
    <mergeCell ref="I41:I42"/>
    <mergeCell ref="J41:J42"/>
    <mergeCell ref="M41:M42"/>
    <mergeCell ref="O41:O42"/>
    <mergeCell ref="O11:O12"/>
    <mergeCell ref="A45:K46"/>
    <mergeCell ref="A47:K48"/>
    <mergeCell ref="A51:O51"/>
    <mergeCell ref="A52:O52"/>
    <mergeCell ref="A53:O53"/>
    <mergeCell ref="A54:O54"/>
    <mergeCell ref="A55:O55"/>
    <mergeCell ref="F43:F44"/>
    <mergeCell ref="G43:G44"/>
    <mergeCell ref="B39:B41"/>
    <mergeCell ref="B42:B44"/>
    <mergeCell ref="C39:C41"/>
    <mergeCell ref="C42:C44"/>
    <mergeCell ref="D39:D44"/>
    <mergeCell ref="A39:A44"/>
    <mergeCell ref="M45:M48"/>
    <mergeCell ref="O45:O48"/>
    <mergeCell ref="B23:B29"/>
    <mergeCell ref="C23:C29"/>
    <mergeCell ref="D23:D38"/>
    <mergeCell ref="B30:B38"/>
    <mergeCell ref="C30:C38"/>
    <mergeCell ref="I43:I44"/>
  </mergeCells>
  <pageMargins left="0.7" right="0.7" top="0.75" bottom="0.75" header="0.3" footer="0.3"/>
  <pageSetup paperSize="9" scale="8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3"/>
  <sheetViews>
    <sheetView topLeftCell="A18" workbookViewId="0">
      <selection activeCell="N35" sqref="N35:N36"/>
    </sheetView>
  </sheetViews>
  <sheetFormatPr defaultRowHeight="14.4" x14ac:dyDescent="0.3"/>
  <cols>
    <col min="3" max="3" width="9.88671875" customWidth="1"/>
    <col min="5" max="5" width="7.88671875" customWidth="1"/>
    <col min="8" max="8" width="7.21875" customWidth="1"/>
    <col min="9" max="9" width="9.6640625" customWidth="1"/>
    <col min="10" max="10" width="11.33203125" customWidth="1"/>
    <col min="14" max="14" width="5.6640625" customWidth="1"/>
    <col min="15" max="15" width="6.21875" customWidth="1"/>
  </cols>
  <sheetData>
    <row r="1" spans="1:15" x14ac:dyDescent="0.3">
      <c r="A1" s="4" t="s">
        <v>59</v>
      </c>
      <c r="B1" s="204" t="s">
        <v>60</v>
      </c>
      <c r="C1" s="204"/>
      <c r="D1" s="204"/>
      <c r="E1" s="204"/>
      <c r="F1" s="204"/>
      <c r="G1" s="204"/>
      <c r="H1" s="204"/>
      <c r="I1" s="204"/>
      <c r="J1" s="204"/>
      <c r="K1" s="204"/>
      <c r="L1" s="204"/>
      <c r="M1" s="204"/>
      <c r="N1" s="204"/>
      <c r="O1" s="204"/>
    </row>
    <row r="2" spans="1:15" x14ac:dyDescent="0.3">
      <c r="A2" s="5"/>
      <c r="B2" s="6"/>
      <c r="C2" s="6"/>
      <c r="D2" s="6"/>
      <c r="E2" s="6"/>
      <c r="F2" s="6"/>
      <c r="G2" s="6"/>
      <c r="H2" s="6"/>
      <c r="I2" s="6"/>
      <c r="J2" s="6"/>
      <c r="K2" s="6"/>
      <c r="L2" s="6"/>
      <c r="M2" s="6"/>
      <c r="N2" s="6"/>
      <c r="O2" s="7"/>
    </row>
    <row r="3" spans="1:15" x14ac:dyDescent="0.3">
      <c r="A3" s="209" t="s">
        <v>61</v>
      </c>
      <c r="B3" s="210" t="s">
        <v>62</v>
      </c>
      <c r="C3" s="211" t="s">
        <v>63</v>
      </c>
      <c r="D3" s="203" t="s">
        <v>64</v>
      </c>
      <c r="E3" s="203" t="s">
        <v>65</v>
      </c>
      <c r="F3" s="203" t="s">
        <v>66</v>
      </c>
      <c r="G3" s="203" t="s">
        <v>67</v>
      </c>
      <c r="H3" s="211" t="s">
        <v>68</v>
      </c>
      <c r="I3" s="212" t="s">
        <v>69</v>
      </c>
      <c r="J3" s="202" t="s">
        <v>70</v>
      </c>
      <c r="K3" s="203" t="s">
        <v>71</v>
      </c>
      <c r="L3" s="203" t="s">
        <v>65</v>
      </c>
      <c r="M3" s="203" t="s">
        <v>67</v>
      </c>
      <c r="N3" s="202" t="s">
        <v>68</v>
      </c>
      <c r="O3" s="202"/>
    </row>
    <row r="4" spans="1:15" ht="33.6" customHeight="1" x14ac:dyDescent="0.3">
      <c r="A4" s="209"/>
      <c r="B4" s="210"/>
      <c r="C4" s="211"/>
      <c r="D4" s="203"/>
      <c r="E4" s="203"/>
      <c r="F4" s="203"/>
      <c r="G4" s="203"/>
      <c r="H4" s="211"/>
      <c r="I4" s="212"/>
      <c r="J4" s="202"/>
      <c r="K4" s="203"/>
      <c r="L4" s="203"/>
      <c r="M4" s="203"/>
      <c r="N4" s="18" t="s">
        <v>72</v>
      </c>
      <c r="O4" s="18" t="s">
        <v>73</v>
      </c>
    </row>
    <row r="5" spans="1:15" ht="76.2" customHeight="1" x14ac:dyDescent="0.3">
      <c r="A5" s="23"/>
      <c r="B5" s="150" t="s">
        <v>30</v>
      </c>
      <c r="C5" s="24" t="s">
        <v>121</v>
      </c>
      <c r="D5" s="25" t="s">
        <v>424</v>
      </c>
      <c r="E5" s="25" t="s">
        <v>75</v>
      </c>
      <c r="F5" s="25">
        <v>0</v>
      </c>
      <c r="G5" s="25">
        <v>105</v>
      </c>
      <c r="H5" s="75">
        <f>205*100/G5</f>
        <v>195.23809523809524</v>
      </c>
      <c r="I5" s="146" t="s">
        <v>76</v>
      </c>
      <c r="J5" s="178" t="s">
        <v>74</v>
      </c>
      <c r="K5" s="205" t="s">
        <v>423</v>
      </c>
      <c r="L5" s="148" t="s">
        <v>75</v>
      </c>
      <c r="M5" s="148">
        <v>7</v>
      </c>
      <c r="N5" s="207">
        <f>22*100/M5</f>
        <v>314.28571428571428</v>
      </c>
      <c r="O5" s="207">
        <f>22*100/M5</f>
        <v>314.28571428571428</v>
      </c>
    </row>
    <row r="6" spans="1:15" ht="135.6" customHeight="1" x14ac:dyDescent="0.3">
      <c r="A6" s="185" t="s">
        <v>39</v>
      </c>
      <c r="B6" s="152"/>
      <c r="C6" s="26" t="s">
        <v>122</v>
      </c>
      <c r="D6" s="13" t="s">
        <v>184</v>
      </c>
      <c r="E6" s="9" t="s">
        <v>123</v>
      </c>
      <c r="F6" s="13">
        <v>0</v>
      </c>
      <c r="G6" s="13">
        <v>35</v>
      </c>
      <c r="H6" s="75">
        <f>169*100/G6</f>
        <v>482.85714285714283</v>
      </c>
      <c r="I6" s="147"/>
      <c r="J6" s="179"/>
      <c r="K6" s="206"/>
      <c r="L6" s="149"/>
      <c r="M6" s="149"/>
      <c r="N6" s="208"/>
      <c r="O6" s="208"/>
    </row>
    <row r="7" spans="1:15" ht="73.2" customHeight="1" x14ac:dyDescent="0.3">
      <c r="A7" s="186"/>
      <c r="B7" s="152"/>
      <c r="C7" s="188" t="s">
        <v>124</v>
      </c>
      <c r="D7" s="148" t="s">
        <v>424</v>
      </c>
      <c r="E7" s="148" t="s">
        <v>75</v>
      </c>
      <c r="F7" s="148">
        <v>0</v>
      </c>
      <c r="G7" s="148">
        <v>20</v>
      </c>
      <c r="H7" s="190">
        <f>20*100/G7</f>
        <v>100</v>
      </c>
      <c r="I7" s="146" t="s">
        <v>85</v>
      </c>
      <c r="J7" s="20" t="s">
        <v>83</v>
      </c>
      <c r="K7" s="13" t="s">
        <v>423</v>
      </c>
      <c r="L7" s="13" t="s">
        <v>75</v>
      </c>
      <c r="M7" s="13">
        <v>10</v>
      </c>
      <c r="N7" s="74">
        <f>12*100/M7</f>
        <v>120</v>
      </c>
      <c r="O7" s="74">
        <f>N7</f>
        <v>120</v>
      </c>
    </row>
    <row r="8" spans="1:15" ht="108" x14ac:dyDescent="0.3">
      <c r="A8" s="186"/>
      <c r="B8" s="152"/>
      <c r="C8" s="189"/>
      <c r="D8" s="149"/>
      <c r="E8" s="149"/>
      <c r="F8" s="149"/>
      <c r="G8" s="149"/>
      <c r="H8" s="191"/>
      <c r="I8" s="147"/>
      <c r="J8" s="20" t="s">
        <v>84</v>
      </c>
      <c r="K8" s="13" t="str">
        <f>D6</f>
        <v>-</v>
      </c>
      <c r="L8" s="13" t="s">
        <v>75</v>
      </c>
      <c r="M8" s="13">
        <v>50</v>
      </c>
      <c r="N8" s="74">
        <f>50*100/M8</f>
        <v>100</v>
      </c>
      <c r="O8" s="74">
        <f>N8</f>
        <v>100</v>
      </c>
    </row>
    <row r="9" spans="1:15" ht="72" x14ac:dyDescent="0.3">
      <c r="A9" s="186"/>
      <c r="B9" s="151"/>
      <c r="C9" s="26" t="s">
        <v>125</v>
      </c>
      <c r="D9" s="9"/>
      <c r="E9" s="13" t="s">
        <v>75</v>
      </c>
      <c r="F9" s="13">
        <v>0</v>
      </c>
      <c r="G9" s="13">
        <v>6</v>
      </c>
      <c r="H9" s="75">
        <v>0</v>
      </c>
      <c r="I9" s="12" t="s">
        <v>29</v>
      </c>
      <c r="J9" s="20" t="s">
        <v>86</v>
      </c>
      <c r="K9" s="97" t="s">
        <v>228</v>
      </c>
      <c r="L9" s="13" t="s">
        <v>75</v>
      </c>
      <c r="M9" s="13">
        <v>6</v>
      </c>
      <c r="N9" s="74">
        <v>0</v>
      </c>
      <c r="O9" s="74">
        <v>0</v>
      </c>
    </row>
    <row r="10" spans="1:15" ht="65.400000000000006" customHeight="1" x14ac:dyDescent="0.3">
      <c r="A10" s="186"/>
      <c r="B10" s="150" t="s">
        <v>92</v>
      </c>
      <c r="C10" s="188" t="s">
        <v>126</v>
      </c>
      <c r="D10" s="148" t="str">
        <f>D6</f>
        <v>-</v>
      </c>
      <c r="E10" s="148" t="s">
        <v>75</v>
      </c>
      <c r="F10" s="148">
        <v>0</v>
      </c>
      <c r="G10" s="148">
        <v>300</v>
      </c>
      <c r="H10" s="190">
        <f>1080*100/G10</f>
        <v>360</v>
      </c>
      <c r="I10" s="146" t="s">
        <v>31</v>
      </c>
      <c r="J10" s="20" t="s">
        <v>90</v>
      </c>
      <c r="K10" s="97" t="s">
        <v>268</v>
      </c>
      <c r="L10" s="13" t="s">
        <v>75</v>
      </c>
      <c r="M10" s="13">
        <v>6</v>
      </c>
      <c r="N10" s="74">
        <f>9*100/M10</f>
        <v>150</v>
      </c>
      <c r="O10" s="74">
        <f>9*100/M10</f>
        <v>150</v>
      </c>
    </row>
    <row r="11" spans="1:15" ht="81" customHeight="1" x14ac:dyDescent="0.3">
      <c r="A11" s="186"/>
      <c r="B11" s="152"/>
      <c r="C11" s="189"/>
      <c r="D11" s="149"/>
      <c r="E11" s="149"/>
      <c r="F11" s="149"/>
      <c r="G11" s="149"/>
      <c r="H11" s="191"/>
      <c r="I11" s="147"/>
      <c r="J11" s="20" t="s">
        <v>87</v>
      </c>
      <c r="K11" s="97" t="s">
        <v>270</v>
      </c>
      <c r="L11" s="13" t="s">
        <v>75</v>
      </c>
      <c r="M11" s="13">
        <v>3</v>
      </c>
      <c r="N11" s="74">
        <f>3*100/M11</f>
        <v>100</v>
      </c>
      <c r="O11" s="74">
        <f>3*100/M11</f>
        <v>100</v>
      </c>
    </row>
    <row r="12" spans="1:15" ht="112.2" customHeight="1" x14ac:dyDescent="0.3">
      <c r="A12" s="186"/>
      <c r="B12" s="152"/>
      <c r="C12" s="26" t="s">
        <v>127</v>
      </c>
      <c r="D12" s="13" t="str">
        <f>D10</f>
        <v>-</v>
      </c>
      <c r="E12" s="13" t="s">
        <v>75</v>
      </c>
      <c r="F12" s="13">
        <v>0</v>
      </c>
      <c r="G12" s="13">
        <v>160</v>
      </c>
      <c r="H12" s="75">
        <f>610*100/G12</f>
        <v>381.25</v>
      </c>
      <c r="I12" s="146" t="s">
        <v>32</v>
      </c>
      <c r="J12" s="19" t="s">
        <v>91</v>
      </c>
      <c r="K12" s="22" t="s">
        <v>184</v>
      </c>
      <c r="L12" s="13" t="s">
        <v>75</v>
      </c>
      <c r="M12" s="13">
        <v>7</v>
      </c>
      <c r="N12" s="74">
        <f>16*100/M12</f>
        <v>228.57142857142858</v>
      </c>
      <c r="O12" s="74">
        <v>85.71</v>
      </c>
    </row>
    <row r="13" spans="1:15" ht="135.6" customHeight="1" x14ac:dyDescent="0.3">
      <c r="A13" s="186"/>
      <c r="B13" s="152"/>
      <c r="C13" s="188" t="s">
        <v>128</v>
      </c>
      <c r="D13" s="148" t="str">
        <f>D12</f>
        <v>-</v>
      </c>
      <c r="E13" s="148" t="s">
        <v>75</v>
      </c>
      <c r="F13" s="148">
        <v>0</v>
      </c>
      <c r="G13" s="148">
        <v>102</v>
      </c>
      <c r="H13" s="190">
        <v>2105.88</v>
      </c>
      <c r="I13" s="195"/>
      <c r="J13" s="19" t="s">
        <v>88</v>
      </c>
      <c r="K13" s="22" t="s">
        <v>184</v>
      </c>
      <c r="L13" s="13" t="s">
        <v>75</v>
      </c>
      <c r="M13" s="13">
        <v>4</v>
      </c>
      <c r="N13" s="74">
        <v>175</v>
      </c>
      <c r="O13" s="74">
        <v>125</v>
      </c>
    </row>
    <row r="14" spans="1:15" ht="36" x14ac:dyDescent="0.3">
      <c r="A14" s="186"/>
      <c r="B14" s="151"/>
      <c r="C14" s="189"/>
      <c r="D14" s="149"/>
      <c r="E14" s="149"/>
      <c r="F14" s="149"/>
      <c r="G14" s="149"/>
      <c r="H14" s="191"/>
      <c r="I14" s="147"/>
      <c r="J14" s="19" t="s">
        <v>89</v>
      </c>
      <c r="K14" s="22" t="s">
        <v>184</v>
      </c>
      <c r="L14" s="13" t="s">
        <v>75</v>
      </c>
      <c r="M14" s="13">
        <v>6</v>
      </c>
      <c r="N14" s="74">
        <f>8*100/M14</f>
        <v>133.33333333333334</v>
      </c>
      <c r="O14" s="74">
        <f>3*100/M14</f>
        <v>50</v>
      </c>
    </row>
    <row r="15" spans="1:15" ht="72" x14ac:dyDescent="0.3">
      <c r="A15" s="186"/>
      <c r="B15" s="150" t="s">
        <v>35</v>
      </c>
      <c r="C15" s="188" t="s">
        <v>129</v>
      </c>
      <c r="D15" s="148" t="str">
        <f>D13</f>
        <v>-</v>
      </c>
      <c r="E15" s="148" t="s">
        <v>123</v>
      </c>
      <c r="F15" s="148">
        <v>82.86</v>
      </c>
      <c r="G15" s="148" t="s">
        <v>130</v>
      </c>
      <c r="H15" s="190">
        <f>F15*100/40</f>
        <v>207.15</v>
      </c>
      <c r="I15" s="146" t="s">
        <v>78</v>
      </c>
      <c r="J15" s="21" t="s">
        <v>93</v>
      </c>
      <c r="K15" s="97" t="s">
        <v>434</v>
      </c>
      <c r="L15" s="13" t="s">
        <v>75</v>
      </c>
      <c r="M15" s="13">
        <v>6</v>
      </c>
      <c r="N15" s="74">
        <f>6*100/M15</f>
        <v>100</v>
      </c>
      <c r="O15" s="74">
        <f>5*100/M15</f>
        <v>83.333333333333329</v>
      </c>
    </row>
    <row r="16" spans="1:15" ht="108" x14ac:dyDescent="0.3">
      <c r="A16" s="186"/>
      <c r="B16" s="152"/>
      <c r="C16" s="192"/>
      <c r="D16" s="193"/>
      <c r="E16" s="193"/>
      <c r="F16" s="193"/>
      <c r="G16" s="193"/>
      <c r="H16" s="194"/>
      <c r="I16" s="195"/>
      <c r="J16" s="20" t="s">
        <v>94</v>
      </c>
      <c r="K16" s="97" t="s">
        <v>184</v>
      </c>
      <c r="L16" s="13" t="s">
        <v>75</v>
      </c>
      <c r="M16" s="13">
        <v>16</v>
      </c>
      <c r="N16" s="74">
        <f>8*100/M16</f>
        <v>50</v>
      </c>
      <c r="O16" s="74">
        <f>7*100/M16</f>
        <v>43.75</v>
      </c>
    </row>
    <row r="17" spans="1:15" ht="96" x14ac:dyDescent="0.3">
      <c r="A17" s="186"/>
      <c r="B17" s="152"/>
      <c r="C17" s="192"/>
      <c r="D17" s="193"/>
      <c r="E17" s="193"/>
      <c r="F17" s="193"/>
      <c r="G17" s="193"/>
      <c r="H17" s="194"/>
      <c r="I17" s="195"/>
      <c r="J17" s="20" t="s">
        <v>95</v>
      </c>
      <c r="K17" s="97" t="s">
        <v>184</v>
      </c>
      <c r="L17" s="13" t="s">
        <v>75</v>
      </c>
      <c r="M17" s="13">
        <v>6</v>
      </c>
      <c r="N17" s="74">
        <f>7*100/M17</f>
        <v>116.66666666666667</v>
      </c>
      <c r="O17" s="74">
        <f>6*100/M17</f>
        <v>100</v>
      </c>
    </row>
    <row r="18" spans="1:15" ht="36" x14ac:dyDescent="0.3">
      <c r="A18" s="186"/>
      <c r="B18" s="151"/>
      <c r="C18" s="189"/>
      <c r="D18" s="149"/>
      <c r="E18" s="149"/>
      <c r="F18" s="149"/>
      <c r="G18" s="149"/>
      <c r="H18" s="191"/>
      <c r="I18" s="147"/>
      <c r="J18" s="20" t="s">
        <v>89</v>
      </c>
      <c r="K18" s="97" t="s">
        <v>270</v>
      </c>
      <c r="L18" s="13" t="s">
        <v>75</v>
      </c>
      <c r="M18" s="13">
        <v>10</v>
      </c>
      <c r="N18" s="74">
        <f>7*100/M18</f>
        <v>70</v>
      </c>
      <c r="O18" s="74">
        <f>6*100/M18</f>
        <v>60</v>
      </c>
    </row>
    <row r="19" spans="1:15" ht="48" x14ac:dyDescent="0.3">
      <c r="A19" s="186"/>
      <c r="B19" s="196" t="s">
        <v>38</v>
      </c>
      <c r="C19" s="188" t="s">
        <v>131</v>
      </c>
      <c r="D19" s="148" t="str">
        <f>D15</f>
        <v>-</v>
      </c>
      <c r="E19" s="148" t="s">
        <v>75</v>
      </c>
      <c r="F19" s="148">
        <v>0</v>
      </c>
      <c r="G19" s="148">
        <v>70</v>
      </c>
      <c r="H19" s="190">
        <f>192*100/70</f>
        <v>274.28571428571428</v>
      </c>
      <c r="I19" s="146" t="s">
        <v>96</v>
      </c>
      <c r="J19" s="20" t="s">
        <v>104</v>
      </c>
      <c r="K19" s="13" t="s">
        <v>184</v>
      </c>
      <c r="L19" s="13" t="s">
        <v>97</v>
      </c>
      <c r="M19" s="13">
        <v>150</v>
      </c>
      <c r="N19" s="74">
        <f>150*100/M19</f>
        <v>100</v>
      </c>
      <c r="O19" s="74">
        <f>(150-16)*100/M19</f>
        <v>89.333333333333329</v>
      </c>
    </row>
    <row r="20" spans="1:15" ht="153.6" customHeight="1" x14ac:dyDescent="0.3">
      <c r="A20" s="186"/>
      <c r="B20" s="197"/>
      <c r="C20" s="189"/>
      <c r="D20" s="149"/>
      <c r="E20" s="149"/>
      <c r="F20" s="149"/>
      <c r="G20" s="149"/>
      <c r="H20" s="191"/>
      <c r="I20" s="195"/>
      <c r="J20" s="20" t="s">
        <v>103</v>
      </c>
      <c r="K20" s="13" t="s">
        <v>184</v>
      </c>
      <c r="L20" s="13" t="s">
        <v>97</v>
      </c>
      <c r="M20" s="13">
        <v>315</v>
      </c>
      <c r="N20" s="74">
        <f>214*100/M20</f>
        <v>67.936507936507937</v>
      </c>
      <c r="O20" s="74">
        <f>(214-26)*100/M20</f>
        <v>59.682539682539684</v>
      </c>
    </row>
    <row r="21" spans="1:15" ht="94.2" customHeight="1" x14ac:dyDescent="0.3">
      <c r="A21" s="186"/>
      <c r="B21" s="197"/>
      <c r="C21" s="26" t="s">
        <v>132</v>
      </c>
      <c r="D21" s="9" t="str">
        <f>D19</f>
        <v>-</v>
      </c>
      <c r="E21" s="13" t="s">
        <v>75</v>
      </c>
      <c r="F21" s="13">
        <v>0</v>
      </c>
      <c r="G21" s="13">
        <v>650</v>
      </c>
      <c r="H21" s="75">
        <f>849*100/G21</f>
        <v>130.61538461538461</v>
      </c>
      <c r="I21" s="195"/>
      <c r="J21" s="20" t="s">
        <v>102</v>
      </c>
      <c r="K21" s="13" t="s">
        <v>184</v>
      </c>
      <c r="L21" s="13" t="str">
        <f>L18</f>
        <v>sztuka</v>
      </c>
      <c r="M21" s="13">
        <v>800</v>
      </c>
      <c r="N21" s="74">
        <f>947*100/M21</f>
        <v>118.375</v>
      </c>
      <c r="O21" s="74">
        <f>(947-91)*100/M21</f>
        <v>107</v>
      </c>
    </row>
    <row r="22" spans="1:15" ht="72" x14ac:dyDescent="0.3">
      <c r="A22" s="186"/>
      <c r="B22" s="197"/>
      <c r="C22" s="27" t="s">
        <v>133</v>
      </c>
      <c r="D22" s="93" t="str">
        <f>D19</f>
        <v>-</v>
      </c>
      <c r="E22" s="15" t="s">
        <v>75</v>
      </c>
      <c r="F22" s="15">
        <v>0</v>
      </c>
      <c r="G22" s="15">
        <v>600</v>
      </c>
      <c r="H22" s="75">
        <f>714*100/G22</f>
        <v>119</v>
      </c>
      <c r="I22" s="147"/>
      <c r="J22" s="20" t="s">
        <v>101</v>
      </c>
      <c r="K22" s="13" t="s">
        <v>184</v>
      </c>
      <c r="L22" s="13" t="str">
        <f>L21</f>
        <v>sztuka</v>
      </c>
      <c r="M22" s="13">
        <v>65</v>
      </c>
      <c r="N22" s="74">
        <f>105*100/M22</f>
        <v>161.53846153846155</v>
      </c>
      <c r="O22" s="74">
        <f>(105-10)*100/M22</f>
        <v>146.15384615384616</v>
      </c>
    </row>
    <row r="23" spans="1:15" ht="132" x14ac:dyDescent="0.3">
      <c r="A23" s="186"/>
      <c r="B23" s="197"/>
      <c r="C23" s="28" t="s">
        <v>134</v>
      </c>
      <c r="D23" s="92" t="str">
        <f>D22</f>
        <v>-</v>
      </c>
      <c r="E23" s="15" t="s">
        <v>75</v>
      </c>
      <c r="F23" s="15">
        <v>0</v>
      </c>
      <c r="G23" s="14">
        <v>1</v>
      </c>
      <c r="H23" s="75">
        <v>0</v>
      </c>
      <c r="I23" s="146" t="s">
        <v>37</v>
      </c>
      <c r="J23" s="20" t="s">
        <v>100</v>
      </c>
      <c r="K23" s="96" t="s">
        <v>184</v>
      </c>
      <c r="L23" s="13" t="str">
        <f t="shared" ref="L23:L46" si="0">L22</f>
        <v>sztuka</v>
      </c>
      <c r="M23" s="13">
        <v>1</v>
      </c>
      <c r="N23" s="74">
        <f>M23*100/M23</f>
        <v>100</v>
      </c>
      <c r="O23" s="74">
        <v>0</v>
      </c>
    </row>
    <row r="24" spans="1:15" ht="163.19999999999999" customHeight="1" x14ac:dyDescent="0.3">
      <c r="A24" s="187"/>
      <c r="B24" s="198"/>
      <c r="C24" s="26" t="s">
        <v>135</v>
      </c>
      <c r="D24" s="13" t="str">
        <f>D23</f>
        <v>-</v>
      </c>
      <c r="E24" s="15" t="s">
        <v>75</v>
      </c>
      <c r="F24" s="15">
        <v>0</v>
      </c>
      <c r="G24" s="14">
        <v>1</v>
      </c>
      <c r="H24" s="75">
        <v>0</v>
      </c>
      <c r="I24" s="147"/>
      <c r="J24" s="20" t="s">
        <v>99</v>
      </c>
      <c r="K24" s="13" t="s">
        <v>184</v>
      </c>
      <c r="L24" s="13" t="str">
        <f t="shared" si="0"/>
        <v>sztuka</v>
      </c>
      <c r="M24" s="13">
        <v>12</v>
      </c>
      <c r="N24" s="74">
        <f>12*100/M24</f>
        <v>100</v>
      </c>
      <c r="O24" s="74">
        <v>0</v>
      </c>
    </row>
    <row r="25" spans="1:15" ht="72" x14ac:dyDescent="0.3">
      <c r="A25" s="185" t="s">
        <v>48</v>
      </c>
      <c r="B25" s="150" t="s">
        <v>42</v>
      </c>
      <c r="C25" s="26" t="s">
        <v>136</v>
      </c>
      <c r="D25" s="13" t="s">
        <v>421</v>
      </c>
      <c r="E25" s="13" t="s">
        <v>75</v>
      </c>
      <c r="F25" s="13">
        <v>0</v>
      </c>
      <c r="G25" s="13">
        <v>39</v>
      </c>
      <c r="H25" s="75">
        <f>23.5*100/G25</f>
        <v>60.256410256410255</v>
      </c>
      <c r="I25" s="146" t="s">
        <v>40</v>
      </c>
      <c r="J25" s="20" t="s">
        <v>98</v>
      </c>
      <c r="K25" s="13" t="s">
        <v>419</v>
      </c>
      <c r="L25" s="13" t="str">
        <f t="shared" si="0"/>
        <v>sztuka</v>
      </c>
      <c r="M25" s="109">
        <v>37</v>
      </c>
      <c r="N25" s="74">
        <f>22*100/M25</f>
        <v>59.45945945945946</v>
      </c>
      <c r="O25" s="74">
        <f>18*100/M25</f>
        <v>48.648648648648646</v>
      </c>
    </row>
    <row r="26" spans="1:15" ht="122.4" customHeight="1" x14ac:dyDescent="0.3">
      <c r="A26" s="186"/>
      <c r="B26" s="152"/>
      <c r="C26" s="26" t="s">
        <v>137</v>
      </c>
      <c r="D26" s="9" t="s">
        <v>422</v>
      </c>
      <c r="E26" s="13" t="s">
        <v>75</v>
      </c>
      <c r="F26" s="13">
        <v>0</v>
      </c>
      <c r="G26" s="13">
        <v>13</v>
      </c>
      <c r="H26" s="76">
        <f>23*100/G26</f>
        <v>176.92307692307693</v>
      </c>
      <c r="I26" s="147"/>
      <c r="J26" s="20" t="s">
        <v>89</v>
      </c>
      <c r="K26" s="97" t="s">
        <v>428</v>
      </c>
      <c r="L26" s="13" t="str">
        <f t="shared" si="0"/>
        <v>sztuka</v>
      </c>
      <c r="M26" s="109">
        <v>14</v>
      </c>
      <c r="N26" s="74">
        <f>14*100/M26</f>
        <v>100</v>
      </c>
      <c r="O26" s="74">
        <f>12*100/M26</f>
        <v>85.714285714285708</v>
      </c>
    </row>
    <row r="27" spans="1:15" ht="72" x14ac:dyDescent="0.3">
      <c r="A27" s="186"/>
      <c r="B27" s="152"/>
      <c r="C27" s="27" t="s">
        <v>138</v>
      </c>
      <c r="D27" s="15" t="s">
        <v>421</v>
      </c>
      <c r="E27" s="15" t="str">
        <f>E26</f>
        <v>sztuka</v>
      </c>
      <c r="F27" s="15">
        <f>F26</f>
        <v>0</v>
      </c>
      <c r="G27" s="15">
        <v>21</v>
      </c>
      <c r="H27" s="75">
        <f>22*100/G27</f>
        <v>104.76190476190476</v>
      </c>
      <c r="I27" s="146" t="s">
        <v>106</v>
      </c>
      <c r="J27" s="20" t="s">
        <v>105</v>
      </c>
      <c r="K27" s="97" t="s">
        <v>420</v>
      </c>
      <c r="L27" s="13" t="str">
        <f t="shared" si="0"/>
        <v>sztuka</v>
      </c>
      <c r="M27" s="13">
        <v>20</v>
      </c>
      <c r="N27" s="74">
        <f>17*100/M27</f>
        <v>85</v>
      </c>
      <c r="O27" s="74">
        <f>11*100/M27</f>
        <v>55</v>
      </c>
    </row>
    <row r="28" spans="1:15" ht="84" x14ac:dyDescent="0.3">
      <c r="A28" s="186"/>
      <c r="B28" s="151"/>
      <c r="C28" s="26" t="s">
        <v>139</v>
      </c>
      <c r="D28" s="13" t="str">
        <f>D26</f>
        <v>1.3.1., 1,3.6</v>
      </c>
      <c r="E28" s="13" t="str">
        <f>E27</f>
        <v>sztuka</v>
      </c>
      <c r="F28" s="13">
        <f>F27</f>
        <v>0</v>
      </c>
      <c r="G28" s="13">
        <v>13</v>
      </c>
      <c r="H28" s="75">
        <f>20*100/G28</f>
        <v>153.84615384615384</v>
      </c>
      <c r="I28" s="147"/>
      <c r="J28" s="20" t="s">
        <v>89</v>
      </c>
      <c r="K28" s="97" t="s">
        <v>428</v>
      </c>
      <c r="L28" s="13" t="str">
        <f t="shared" si="0"/>
        <v>sztuka</v>
      </c>
      <c r="M28" s="13">
        <v>6</v>
      </c>
      <c r="N28" s="74">
        <f>11*100/M28</f>
        <v>183.33333333333334</v>
      </c>
      <c r="O28" s="74">
        <f>8*100/M28</f>
        <v>133.33333333333334</v>
      </c>
    </row>
    <row r="29" spans="1:15" ht="180" x14ac:dyDescent="0.3">
      <c r="A29" s="186"/>
      <c r="B29" s="16" t="s">
        <v>43</v>
      </c>
      <c r="C29" s="26" t="s">
        <v>140</v>
      </c>
      <c r="D29" s="13" t="s">
        <v>184</v>
      </c>
      <c r="E29" s="13" t="s">
        <v>75</v>
      </c>
      <c r="F29" s="13">
        <v>0</v>
      </c>
      <c r="G29" s="13">
        <v>1</v>
      </c>
      <c r="H29" s="75">
        <f>6*100/G29</f>
        <v>600</v>
      </c>
      <c r="I29" s="12" t="s">
        <v>108</v>
      </c>
      <c r="J29" s="20" t="s">
        <v>107</v>
      </c>
      <c r="K29" s="13" t="s">
        <v>184</v>
      </c>
      <c r="L29" s="13" t="str">
        <f t="shared" si="0"/>
        <v>sztuka</v>
      </c>
      <c r="M29" s="13">
        <v>2</v>
      </c>
      <c r="N29" s="74">
        <v>250</v>
      </c>
      <c r="O29" s="74">
        <v>150</v>
      </c>
    </row>
    <row r="30" spans="1:15" ht="112.2" customHeight="1" x14ac:dyDescent="0.3">
      <c r="A30" s="186"/>
      <c r="B30" s="196" t="s">
        <v>47</v>
      </c>
      <c r="C30" s="188" t="s">
        <v>141</v>
      </c>
      <c r="D30" s="148" t="s">
        <v>184</v>
      </c>
      <c r="E30" s="148" t="s">
        <v>123</v>
      </c>
      <c r="F30" s="148">
        <v>0</v>
      </c>
      <c r="G30" s="199" t="s">
        <v>142</v>
      </c>
      <c r="H30" s="190">
        <f>56.67*100/30</f>
        <v>188.9</v>
      </c>
      <c r="I30" s="146" t="s">
        <v>80</v>
      </c>
      <c r="J30" s="20" t="s">
        <v>109</v>
      </c>
      <c r="K30" s="13" t="s">
        <v>184</v>
      </c>
      <c r="L30" s="13" t="str">
        <f t="shared" si="0"/>
        <v>sztuka</v>
      </c>
      <c r="M30" s="13">
        <v>9</v>
      </c>
      <c r="N30" s="74">
        <f>11*100/M30</f>
        <v>122.22222222222223</v>
      </c>
      <c r="O30" s="74">
        <f>9*100/M30</f>
        <v>100</v>
      </c>
    </row>
    <row r="31" spans="1:15" ht="134.4" customHeight="1" x14ac:dyDescent="0.3">
      <c r="A31" s="186"/>
      <c r="B31" s="197"/>
      <c r="C31" s="192"/>
      <c r="D31" s="193"/>
      <c r="E31" s="193"/>
      <c r="F31" s="193"/>
      <c r="G31" s="200"/>
      <c r="H31" s="194"/>
      <c r="I31" s="195"/>
      <c r="J31" s="20" t="s">
        <v>110</v>
      </c>
      <c r="K31" s="13" t="s">
        <v>184</v>
      </c>
      <c r="L31" s="13" t="str">
        <f t="shared" si="0"/>
        <v>sztuka</v>
      </c>
      <c r="M31" s="13">
        <v>5</v>
      </c>
      <c r="N31" s="74">
        <f>9*100/M31</f>
        <v>180</v>
      </c>
      <c r="O31" s="74">
        <f>7*100/M31</f>
        <v>140</v>
      </c>
    </row>
    <row r="32" spans="1:15" ht="36" x14ac:dyDescent="0.3">
      <c r="A32" s="186"/>
      <c r="B32" s="197"/>
      <c r="C32" s="189"/>
      <c r="D32" s="149"/>
      <c r="E32" s="149"/>
      <c r="F32" s="149"/>
      <c r="G32" s="201"/>
      <c r="H32" s="191"/>
      <c r="I32" s="147"/>
      <c r="J32" s="20" t="s">
        <v>89</v>
      </c>
      <c r="K32" s="13" t="s">
        <v>184</v>
      </c>
      <c r="L32" s="13" t="str">
        <f t="shared" si="0"/>
        <v>sztuka</v>
      </c>
      <c r="M32" s="13">
        <v>4</v>
      </c>
      <c r="N32" s="74">
        <f>9*100/M32</f>
        <v>225</v>
      </c>
      <c r="O32" s="74">
        <f>7*100/M32</f>
        <v>175</v>
      </c>
    </row>
    <row r="33" spans="1:15" ht="72" x14ac:dyDescent="0.3">
      <c r="A33" s="186"/>
      <c r="B33" s="197"/>
      <c r="C33" s="188" t="s">
        <v>143</v>
      </c>
      <c r="D33" s="148" t="s">
        <v>184</v>
      </c>
      <c r="E33" s="148" t="s">
        <v>75</v>
      </c>
      <c r="F33" s="148">
        <v>0</v>
      </c>
      <c r="G33" s="148">
        <v>20</v>
      </c>
      <c r="H33" s="190">
        <v>0</v>
      </c>
      <c r="I33" s="146" t="s">
        <v>112</v>
      </c>
      <c r="J33" s="20" t="s">
        <v>111</v>
      </c>
      <c r="K33" s="13" t="s">
        <v>427</v>
      </c>
      <c r="L33" s="13" t="str">
        <f t="shared" si="0"/>
        <v>sztuka</v>
      </c>
      <c r="M33" s="13">
        <v>1</v>
      </c>
      <c r="N33" s="74">
        <f>1*100/M33</f>
        <v>100</v>
      </c>
      <c r="O33" s="74">
        <v>0</v>
      </c>
    </row>
    <row r="34" spans="1:15" ht="64.8" customHeight="1" x14ac:dyDescent="0.3">
      <c r="A34" s="186"/>
      <c r="B34" s="197"/>
      <c r="C34" s="189"/>
      <c r="D34" s="149"/>
      <c r="E34" s="149"/>
      <c r="F34" s="149"/>
      <c r="G34" s="149"/>
      <c r="H34" s="191"/>
      <c r="I34" s="147"/>
      <c r="J34" s="20" t="s">
        <v>89</v>
      </c>
      <c r="K34" s="97" t="s">
        <v>270</v>
      </c>
      <c r="L34" s="13" t="str">
        <f t="shared" si="0"/>
        <v>sztuka</v>
      </c>
      <c r="M34" s="13">
        <v>1</v>
      </c>
      <c r="N34" s="74">
        <v>0</v>
      </c>
      <c r="O34" s="74">
        <v>0</v>
      </c>
    </row>
    <row r="35" spans="1:15" ht="79.8" customHeight="1" x14ac:dyDescent="0.3">
      <c r="A35" s="186"/>
      <c r="B35" s="197"/>
      <c r="C35" s="26" t="s">
        <v>144</v>
      </c>
      <c r="D35" s="13" t="s">
        <v>426</v>
      </c>
      <c r="E35" s="13" t="s">
        <v>75</v>
      </c>
      <c r="F35" s="13">
        <v>0</v>
      </c>
      <c r="G35" s="13">
        <v>50</v>
      </c>
      <c r="H35" s="75">
        <f>460*100/G35</f>
        <v>920</v>
      </c>
      <c r="I35" s="146" t="s">
        <v>114</v>
      </c>
      <c r="J35" s="178" t="s">
        <v>98</v>
      </c>
      <c r="K35" s="148" t="s">
        <v>419</v>
      </c>
      <c r="L35" s="148" t="str">
        <f t="shared" si="0"/>
        <v>sztuka</v>
      </c>
      <c r="M35" s="148">
        <v>18</v>
      </c>
      <c r="N35" s="180">
        <f>13*100/M35</f>
        <v>72.222222222222229</v>
      </c>
      <c r="O35" s="180">
        <f>11*100/M35</f>
        <v>61.111111111111114</v>
      </c>
    </row>
    <row r="36" spans="1:15" ht="58.8" customHeight="1" x14ac:dyDescent="0.3">
      <c r="A36" s="186"/>
      <c r="B36" s="197"/>
      <c r="C36" s="26" t="s">
        <v>136</v>
      </c>
      <c r="D36" s="13" t="str">
        <f>D27</f>
        <v>1.3.</v>
      </c>
      <c r="E36" s="13" t="s">
        <v>75</v>
      </c>
      <c r="F36" s="13">
        <v>0</v>
      </c>
      <c r="G36" s="13">
        <v>20</v>
      </c>
      <c r="H36" s="75">
        <f>12.5*100/G36</f>
        <v>62.5</v>
      </c>
      <c r="I36" s="195"/>
      <c r="J36" s="179"/>
      <c r="K36" s="149"/>
      <c r="L36" s="149"/>
      <c r="M36" s="149"/>
      <c r="N36" s="181"/>
      <c r="O36" s="181"/>
    </row>
    <row r="37" spans="1:15" ht="117.6" customHeight="1" x14ac:dyDescent="0.3">
      <c r="A37" s="186"/>
      <c r="B37" s="197"/>
      <c r="C37" s="26" t="s">
        <v>145</v>
      </c>
      <c r="D37" s="13" t="str">
        <f>D26</f>
        <v>1.3.1., 1,3.6</v>
      </c>
      <c r="E37" s="13" t="s">
        <v>75</v>
      </c>
      <c r="F37" s="13">
        <v>0</v>
      </c>
      <c r="G37" s="13">
        <v>3</v>
      </c>
      <c r="H37" s="75">
        <f>13*100/G37</f>
        <v>433.33333333333331</v>
      </c>
      <c r="I37" s="147"/>
      <c r="J37" s="20" t="s">
        <v>113</v>
      </c>
      <c r="K37" s="13" t="s">
        <v>425</v>
      </c>
      <c r="L37" s="13" t="str">
        <f>L35</f>
        <v>sztuka</v>
      </c>
      <c r="M37" s="13">
        <v>10</v>
      </c>
      <c r="N37" s="74">
        <f>22*100/M37</f>
        <v>220</v>
      </c>
      <c r="O37" s="74">
        <f>22*100/M37</f>
        <v>220</v>
      </c>
    </row>
    <row r="38" spans="1:15" ht="132" x14ac:dyDescent="0.3">
      <c r="A38" s="186"/>
      <c r="B38" s="197"/>
      <c r="C38" s="26" t="s">
        <v>146</v>
      </c>
      <c r="D38" s="13" t="s">
        <v>184</v>
      </c>
      <c r="E38" s="13" t="s">
        <v>75</v>
      </c>
      <c r="F38" s="13">
        <v>0</v>
      </c>
      <c r="G38" s="13">
        <v>12</v>
      </c>
      <c r="H38" s="75">
        <f>5*100/G38</f>
        <v>41.666666666666664</v>
      </c>
      <c r="I38" s="146" t="s">
        <v>46</v>
      </c>
      <c r="J38" s="20" t="s">
        <v>115</v>
      </c>
      <c r="K38" s="13" t="s">
        <v>184</v>
      </c>
      <c r="L38" s="13" t="str">
        <f t="shared" si="0"/>
        <v>sztuka</v>
      </c>
      <c r="M38" s="13">
        <v>7</v>
      </c>
      <c r="N38" s="74">
        <f>4*100/M38</f>
        <v>57.142857142857146</v>
      </c>
      <c r="O38" s="74">
        <f>2*100/M38</f>
        <v>28.571428571428573</v>
      </c>
    </row>
    <row r="39" spans="1:15" ht="84" x14ac:dyDescent="0.3">
      <c r="A39" s="186"/>
      <c r="B39" s="197"/>
      <c r="C39" s="26" t="s">
        <v>147</v>
      </c>
      <c r="D39" s="13" t="s">
        <v>184</v>
      </c>
      <c r="E39" s="13" t="s">
        <v>75</v>
      </c>
      <c r="F39" s="13">
        <v>0</v>
      </c>
      <c r="G39" s="13">
        <v>6</v>
      </c>
      <c r="H39" s="75">
        <f>6*100/G39</f>
        <v>100</v>
      </c>
      <c r="I39" s="147"/>
      <c r="J39" s="20" t="s">
        <v>89</v>
      </c>
      <c r="K39" s="13" t="s">
        <v>184</v>
      </c>
      <c r="L39" s="13" t="str">
        <f t="shared" si="0"/>
        <v>sztuka</v>
      </c>
      <c r="M39" s="13">
        <v>3</v>
      </c>
      <c r="N39" s="74">
        <f>2*100/M39</f>
        <v>66.666666666666671</v>
      </c>
      <c r="O39" s="74">
        <f>2*100/M39</f>
        <v>66.666666666666671</v>
      </c>
    </row>
    <row r="40" spans="1:15" ht="96" x14ac:dyDescent="0.3">
      <c r="A40" s="187"/>
      <c r="B40" s="198"/>
      <c r="C40" s="26" t="s">
        <v>148</v>
      </c>
      <c r="D40" s="13" t="s">
        <v>184</v>
      </c>
      <c r="E40" s="13" t="s">
        <v>75</v>
      </c>
      <c r="F40" s="13">
        <v>0</v>
      </c>
      <c r="G40" s="13">
        <v>4</v>
      </c>
      <c r="H40" s="75">
        <f>G40*100/G40</f>
        <v>100</v>
      </c>
      <c r="I40" s="12" t="s">
        <v>117</v>
      </c>
      <c r="J40" s="20" t="s">
        <v>116</v>
      </c>
      <c r="K40" s="13" t="s">
        <v>184</v>
      </c>
      <c r="L40" s="13" t="str">
        <f t="shared" si="0"/>
        <v>sztuka</v>
      </c>
      <c r="M40" s="13">
        <v>5</v>
      </c>
      <c r="N40" s="74">
        <f>5*100/M40</f>
        <v>100</v>
      </c>
      <c r="O40" s="74">
        <f>N40</f>
        <v>100</v>
      </c>
    </row>
    <row r="41" spans="1:15" ht="102" customHeight="1" x14ac:dyDescent="0.3">
      <c r="A41" s="185">
        <f>'Finansowy postęp'!A39:A44</f>
        <v>0</v>
      </c>
      <c r="B41" s="150" t="s">
        <v>51</v>
      </c>
      <c r="C41" s="26" t="s">
        <v>146</v>
      </c>
      <c r="D41" s="13" t="s">
        <v>184</v>
      </c>
      <c r="E41" s="13" t="s">
        <v>75</v>
      </c>
      <c r="F41" s="13">
        <v>0</v>
      </c>
      <c r="G41" s="13">
        <v>28</v>
      </c>
      <c r="H41" s="75">
        <f>26*100/G41</f>
        <v>92.857142857142861</v>
      </c>
      <c r="I41" s="146" t="s">
        <v>49</v>
      </c>
      <c r="J41" s="20" t="s">
        <v>118</v>
      </c>
      <c r="K41" s="13" t="s">
        <v>184</v>
      </c>
      <c r="L41" s="13" t="str">
        <f t="shared" si="0"/>
        <v>sztuka</v>
      </c>
      <c r="M41" s="13">
        <v>24</v>
      </c>
      <c r="N41" s="74">
        <f>23*100/M41</f>
        <v>95.833333333333329</v>
      </c>
      <c r="O41" s="74">
        <f>16*100/M41</f>
        <v>66.666666666666671</v>
      </c>
    </row>
    <row r="42" spans="1:15" ht="88.8" customHeight="1" x14ac:dyDescent="0.3">
      <c r="A42" s="186"/>
      <c r="B42" s="151"/>
      <c r="C42" s="26" t="s">
        <v>147</v>
      </c>
      <c r="D42" s="13" t="s">
        <v>184</v>
      </c>
      <c r="E42" s="13" t="s">
        <v>75</v>
      </c>
      <c r="F42" s="13">
        <v>0</v>
      </c>
      <c r="G42" s="13">
        <v>6</v>
      </c>
      <c r="H42" s="75">
        <f>24*100/G42</f>
        <v>400</v>
      </c>
      <c r="I42" s="147"/>
      <c r="J42" s="20" t="s">
        <v>119</v>
      </c>
      <c r="K42" s="13" t="s">
        <v>184</v>
      </c>
      <c r="L42" s="13" t="str">
        <f t="shared" si="0"/>
        <v>sztuka</v>
      </c>
      <c r="M42" s="13">
        <v>10</v>
      </c>
      <c r="N42" s="74">
        <f>10*100/M42</f>
        <v>100</v>
      </c>
      <c r="O42" s="74">
        <f>4*100/4</f>
        <v>100</v>
      </c>
    </row>
    <row r="43" spans="1:15" ht="108" x14ac:dyDescent="0.3">
      <c r="A43" s="186"/>
      <c r="B43" s="182" t="s">
        <v>52</v>
      </c>
      <c r="C43" s="26" t="s">
        <v>146</v>
      </c>
      <c r="D43" s="13" t="s">
        <v>184</v>
      </c>
      <c r="E43" s="13" t="s">
        <v>75</v>
      </c>
      <c r="F43" s="13">
        <v>0</v>
      </c>
      <c r="G43" s="13">
        <v>8</v>
      </c>
      <c r="H43" s="75">
        <v>137.5</v>
      </c>
      <c r="I43" s="146" t="s">
        <v>82</v>
      </c>
      <c r="J43" s="20" t="s">
        <v>455</v>
      </c>
      <c r="K43" s="13" t="s">
        <v>184</v>
      </c>
      <c r="L43" s="13" t="str">
        <f>L40</f>
        <v>sztuka</v>
      </c>
      <c r="M43" s="13">
        <v>8</v>
      </c>
      <c r="N43" s="74">
        <v>125</v>
      </c>
      <c r="O43" s="74">
        <v>75</v>
      </c>
    </row>
    <row r="44" spans="1:15" ht="84" x14ac:dyDescent="0.3">
      <c r="A44" s="186"/>
      <c r="B44" s="183"/>
      <c r="C44" s="26" t="s">
        <v>147</v>
      </c>
      <c r="D44" s="13" t="s">
        <v>184</v>
      </c>
      <c r="E44" s="13" t="s">
        <v>75</v>
      </c>
      <c r="F44" s="13">
        <v>0</v>
      </c>
      <c r="G44" s="13">
        <v>4</v>
      </c>
      <c r="H44" s="75">
        <f>8*100/G44</f>
        <v>200</v>
      </c>
      <c r="I44" s="147"/>
      <c r="J44" s="20" t="s">
        <v>119</v>
      </c>
      <c r="K44" s="13" t="s">
        <v>184</v>
      </c>
      <c r="L44" s="13" t="str">
        <f t="shared" si="0"/>
        <v>sztuka</v>
      </c>
      <c r="M44" s="13">
        <v>3</v>
      </c>
      <c r="N44" s="74">
        <f>2*100/M44</f>
        <v>66.666666666666671</v>
      </c>
      <c r="O44" s="74">
        <f>2*100/M44</f>
        <v>66.666666666666671</v>
      </c>
    </row>
    <row r="45" spans="1:15" ht="132" x14ac:dyDescent="0.3">
      <c r="A45" s="186"/>
      <c r="B45" s="183"/>
      <c r="C45" s="26" t="s">
        <v>149</v>
      </c>
      <c r="D45" s="13" t="s">
        <v>184</v>
      </c>
      <c r="E45" s="13" t="s">
        <v>75</v>
      </c>
      <c r="F45" s="13">
        <v>0</v>
      </c>
      <c r="G45" s="13">
        <v>1</v>
      </c>
      <c r="H45" s="75">
        <v>0</v>
      </c>
      <c r="I45" s="146" t="s">
        <v>50</v>
      </c>
      <c r="J45" s="20" t="s">
        <v>100</v>
      </c>
      <c r="K45" s="13" t="s">
        <v>184</v>
      </c>
      <c r="L45" s="13" t="str">
        <f t="shared" si="0"/>
        <v>sztuka</v>
      </c>
      <c r="M45" s="13">
        <v>1</v>
      </c>
      <c r="N45" s="74">
        <f>M45*100/M45</f>
        <v>100</v>
      </c>
      <c r="O45" s="74">
        <v>0</v>
      </c>
    </row>
    <row r="46" spans="1:15" ht="156" x14ac:dyDescent="0.3">
      <c r="A46" s="187"/>
      <c r="B46" s="184"/>
      <c r="C46" s="26" t="s">
        <v>135</v>
      </c>
      <c r="D46" s="13" t="s">
        <v>184</v>
      </c>
      <c r="E46" s="13" t="s">
        <v>75</v>
      </c>
      <c r="F46" s="13">
        <v>0</v>
      </c>
      <c r="G46" s="13">
        <v>1</v>
      </c>
      <c r="H46" s="75">
        <v>0</v>
      </c>
      <c r="I46" s="147"/>
      <c r="J46" s="20" t="s">
        <v>120</v>
      </c>
      <c r="K46" s="13" t="s">
        <v>184</v>
      </c>
      <c r="L46" s="13" t="str">
        <f t="shared" si="0"/>
        <v>sztuka</v>
      </c>
      <c r="M46" s="13">
        <v>10</v>
      </c>
      <c r="N46" s="74">
        <f>6*100/M46</f>
        <v>60</v>
      </c>
      <c r="O46" s="74">
        <v>0</v>
      </c>
    </row>
    <row r="48" spans="1:15" ht="19.2" customHeight="1" x14ac:dyDescent="0.3">
      <c r="A48" s="166" t="s">
        <v>150</v>
      </c>
      <c r="B48" s="167"/>
      <c r="C48" s="167"/>
      <c r="D48" s="167"/>
      <c r="E48" s="167"/>
      <c r="F48" s="167"/>
      <c r="G48" s="167"/>
      <c r="H48" s="167"/>
      <c r="I48" s="167"/>
      <c r="J48" s="167"/>
      <c r="K48" s="167"/>
      <c r="L48" s="167"/>
      <c r="M48" s="167"/>
      <c r="N48" s="167"/>
      <c r="O48" s="168"/>
    </row>
    <row r="49" spans="1:15" ht="31.8" customHeight="1" x14ac:dyDescent="0.3">
      <c r="A49" s="169" t="s">
        <v>151</v>
      </c>
      <c r="B49" s="170"/>
      <c r="C49" s="170"/>
      <c r="D49" s="170"/>
      <c r="E49" s="170"/>
      <c r="F49" s="170"/>
      <c r="G49" s="170"/>
      <c r="H49" s="170"/>
      <c r="I49" s="170"/>
      <c r="J49" s="170"/>
      <c r="K49" s="170"/>
      <c r="L49" s="170"/>
      <c r="M49" s="170"/>
      <c r="N49" s="170"/>
      <c r="O49" s="171"/>
    </row>
    <row r="50" spans="1:15" ht="50.4" customHeight="1" x14ac:dyDescent="0.3">
      <c r="A50" s="169" t="s">
        <v>152</v>
      </c>
      <c r="B50" s="170"/>
      <c r="C50" s="170"/>
      <c r="D50" s="170"/>
      <c r="E50" s="170"/>
      <c r="F50" s="170"/>
      <c r="G50" s="170"/>
      <c r="H50" s="170"/>
      <c r="I50" s="170"/>
      <c r="J50" s="170"/>
      <c r="K50" s="170"/>
      <c r="L50" s="170"/>
      <c r="M50" s="170"/>
      <c r="N50" s="170"/>
      <c r="O50" s="171"/>
    </row>
    <row r="51" spans="1:15" ht="16.8" customHeight="1" x14ac:dyDescent="0.3">
      <c r="A51" s="172" t="s">
        <v>153</v>
      </c>
      <c r="B51" s="173"/>
      <c r="C51" s="173"/>
      <c r="D51" s="173"/>
      <c r="E51" s="173"/>
      <c r="F51" s="173"/>
      <c r="G51" s="173"/>
      <c r="H51" s="173"/>
      <c r="I51" s="173"/>
      <c r="J51" s="173"/>
      <c r="K51" s="173"/>
      <c r="L51" s="173"/>
      <c r="M51" s="173"/>
      <c r="N51" s="173"/>
      <c r="O51" s="174"/>
    </row>
    <row r="52" spans="1:15" ht="51.6" customHeight="1" x14ac:dyDescent="0.3">
      <c r="A52" s="169" t="s">
        <v>451</v>
      </c>
      <c r="B52" s="170"/>
      <c r="C52" s="170"/>
      <c r="D52" s="170"/>
      <c r="E52" s="170"/>
      <c r="F52" s="170"/>
      <c r="G52" s="170"/>
      <c r="H52" s="170"/>
      <c r="I52" s="170"/>
      <c r="J52" s="170"/>
      <c r="K52" s="170"/>
      <c r="L52" s="170"/>
      <c r="M52" s="170"/>
      <c r="N52" s="170"/>
      <c r="O52" s="171"/>
    </row>
    <row r="53" spans="1:15" ht="36" customHeight="1" x14ac:dyDescent="0.3">
      <c r="A53" s="175" t="s">
        <v>154</v>
      </c>
      <c r="B53" s="176"/>
      <c r="C53" s="176"/>
      <c r="D53" s="176"/>
      <c r="E53" s="176"/>
      <c r="F53" s="176"/>
      <c r="G53" s="176"/>
      <c r="H53" s="176"/>
      <c r="I53" s="176"/>
      <c r="J53" s="176"/>
      <c r="K53" s="176"/>
      <c r="L53" s="176"/>
      <c r="M53" s="176"/>
      <c r="N53" s="176"/>
      <c r="O53" s="177"/>
    </row>
  </sheetData>
  <autoFilter ref="A4:O46"/>
  <mergeCells count="102">
    <mergeCell ref="A3:A4"/>
    <mergeCell ref="B3:B4"/>
    <mergeCell ref="C3:C4"/>
    <mergeCell ref="D3:D4"/>
    <mergeCell ref="E3:E4"/>
    <mergeCell ref="F3:F4"/>
    <mergeCell ref="G3:G4"/>
    <mergeCell ref="H3:H4"/>
    <mergeCell ref="I3:I4"/>
    <mergeCell ref="F10:F11"/>
    <mergeCell ref="G10:G11"/>
    <mergeCell ref="J3:J4"/>
    <mergeCell ref="K3:K4"/>
    <mergeCell ref="L3:L4"/>
    <mergeCell ref="M3:M4"/>
    <mergeCell ref="N3:O3"/>
    <mergeCell ref="B1:O1"/>
    <mergeCell ref="J5:J6"/>
    <mergeCell ref="K5:K6"/>
    <mergeCell ref="L5:L6"/>
    <mergeCell ref="M5:M6"/>
    <mergeCell ref="B5:B9"/>
    <mergeCell ref="C7:C8"/>
    <mergeCell ref="D7:D8"/>
    <mergeCell ref="E7:E8"/>
    <mergeCell ref="F7:F8"/>
    <mergeCell ref="G7:G8"/>
    <mergeCell ref="N5:N6"/>
    <mergeCell ref="O5:O6"/>
    <mergeCell ref="B15:B18"/>
    <mergeCell ref="I19:I22"/>
    <mergeCell ref="I23:I24"/>
    <mergeCell ref="B19:B24"/>
    <mergeCell ref="A6:A24"/>
    <mergeCell ref="I25:I26"/>
    <mergeCell ref="A25:A40"/>
    <mergeCell ref="H7:H8"/>
    <mergeCell ref="C13:C14"/>
    <mergeCell ref="D13:D14"/>
    <mergeCell ref="I7:I8"/>
    <mergeCell ref="I10:I11"/>
    <mergeCell ref="I12:I14"/>
    <mergeCell ref="B10:B14"/>
    <mergeCell ref="I15:I18"/>
    <mergeCell ref="G19:G20"/>
    <mergeCell ref="H19:H20"/>
    <mergeCell ref="E13:E14"/>
    <mergeCell ref="F13:F14"/>
    <mergeCell ref="H10:H11"/>
    <mergeCell ref="I5:I6"/>
    <mergeCell ref="C10:C11"/>
    <mergeCell ref="D10:D11"/>
    <mergeCell ref="E10:E11"/>
    <mergeCell ref="I27:I28"/>
    <mergeCell ref="B25:B28"/>
    <mergeCell ref="I30:I32"/>
    <mergeCell ref="I33:I34"/>
    <mergeCell ref="I35:I37"/>
    <mergeCell ref="I38:I39"/>
    <mergeCell ref="B30:B40"/>
    <mergeCell ref="C30:C32"/>
    <mergeCell ref="D30:D32"/>
    <mergeCell ref="E30:E32"/>
    <mergeCell ref="F30:F32"/>
    <mergeCell ref="G30:G32"/>
    <mergeCell ref="H30:H32"/>
    <mergeCell ref="C33:C34"/>
    <mergeCell ref="D33:D34"/>
    <mergeCell ref="E33:E34"/>
    <mergeCell ref="F33:F34"/>
    <mergeCell ref="G33:G34"/>
    <mergeCell ref="H33:H34"/>
    <mergeCell ref="C19:C20"/>
    <mergeCell ref="D19:D20"/>
    <mergeCell ref="E19:E20"/>
    <mergeCell ref="F19:F20"/>
    <mergeCell ref="G13:G14"/>
    <mergeCell ref="H13:H14"/>
    <mergeCell ref="C15:C18"/>
    <mergeCell ref="D15:D18"/>
    <mergeCell ref="E15:E18"/>
    <mergeCell ref="F15:F18"/>
    <mergeCell ref="G15:G18"/>
    <mergeCell ref="H15:H18"/>
    <mergeCell ref="A48:O48"/>
    <mergeCell ref="A49:O49"/>
    <mergeCell ref="A50:O50"/>
    <mergeCell ref="A51:O51"/>
    <mergeCell ref="A52:O52"/>
    <mergeCell ref="A53:O53"/>
    <mergeCell ref="J35:J36"/>
    <mergeCell ref="K35:K36"/>
    <mergeCell ref="L35:L36"/>
    <mergeCell ref="M35:M36"/>
    <mergeCell ref="N35:N36"/>
    <mergeCell ref="O35:O36"/>
    <mergeCell ref="I43:I44"/>
    <mergeCell ref="I45:I46"/>
    <mergeCell ref="B41:B42"/>
    <mergeCell ref="I41:I42"/>
    <mergeCell ref="B43:B46"/>
    <mergeCell ref="A41:A46"/>
  </mergeCells>
  <pageMargins left="0.7" right="0.7" top="0.75" bottom="0.75" header="0.3" footer="0.3"/>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4"/>
  <sheetViews>
    <sheetView topLeftCell="A79" workbookViewId="0">
      <selection activeCell="G48" sqref="G48"/>
    </sheetView>
  </sheetViews>
  <sheetFormatPr defaultRowHeight="14.4" x14ac:dyDescent="0.3"/>
  <cols>
    <col min="1" max="1" width="23.6640625" customWidth="1"/>
    <col min="2" max="2" width="14.88671875" customWidth="1"/>
    <col min="3" max="3" width="10.109375" customWidth="1"/>
    <col min="4" max="4" width="22.44140625" customWidth="1"/>
    <col min="7" max="7" width="18.21875" customWidth="1"/>
  </cols>
  <sheetData>
    <row r="1" spans="1:9" x14ac:dyDescent="0.3">
      <c r="A1" s="29" t="s">
        <v>155</v>
      </c>
      <c r="B1" s="29"/>
      <c r="C1" s="271" t="s">
        <v>156</v>
      </c>
      <c r="D1" s="271"/>
      <c r="E1" s="271"/>
      <c r="F1" s="271"/>
      <c r="G1" s="271"/>
      <c r="H1" s="271"/>
      <c r="I1" s="271"/>
    </row>
    <row r="2" spans="1:9" x14ac:dyDescent="0.3">
      <c r="A2" s="30"/>
      <c r="B2" s="31"/>
      <c r="C2" s="31"/>
      <c r="D2" s="31"/>
      <c r="E2" s="31"/>
      <c r="F2" s="31"/>
      <c r="G2" s="31"/>
      <c r="H2" s="31"/>
      <c r="I2" s="32"/>
    </row>
    <row r="3" spans="1:9" x14ac:dyDescent="0.3">
      <c r="A3" s="237" t="s">
        <v>157</v>
      </c>
      <c r="B3" s="238"/>
      <c r="C3" s="238"/>
      <c r="D3" s="238"/>
      <c r="E3" s="238"/>
      <c r="F3" s="238"/>
      <c r="G3" s="238"/>
      <c r="H3" s="238"/>
      <c r="I3" s="239"/>
    </row>
    <row r="4" spans="1:9" ht="30.6" customHeight="1" x14ac:dyDescent="0.3">
      <c r="A4" s="272" t="s">
        <v>158</v>
      </c>
      <c r="B4" s="258" t="s">
        <v>159</v>
      </c>
      <c r="C4" s="273" t="s">
        <v>160</v>
      </c>
      <c r="D4" s="274" t="s">
        <v>161</v>
      </c>
      <c r="E4" s="248" t="s">
        <v>160</v>
      </c>
      <c r="F4" s="258" t="s">
        <v>162</v>
      </c>
      <c r="G4" s="258" t="s">
        <v>65</v>
      </c>
      <c r="H4" s="258" t="s">
        <v>163</v>
      </c>
      <c r="I4" s="258"/>
    </row>
    <row r="5" spans="1:9" ht="33" customHeight="1" x14ac:dyDescent="0.3">
      <c r="A5" s="272"/>
      <c r="B5" s="258"/>
      <c r="C5" s="273"/>
      <c r="D5" s="274"/>
      <c r="E5" s="249"/>
      <c r="F5" s="258"/>
      <c r="G5" s="258"/>
      <c r="H5" s="33" t="s">
        <v>72</v>
      </c>
      <c r="I5" s="33" t="s">
        <v>73</v>
      </c>
    </row>
    <row r="6" spans="1:9" x14ac:dyDescent="0.3">
      <c r="A6" s="259" t="s">
        <v>164</v>
      </c>
      <c r="B6" s="268" t="s">
        <v>429</v>
      </c>
      <c r="C6" s="233" t="s">
        <v>165</v>
      </c>
      <c r="D6" s="12" t="s">
        <v>166</v>
      </c>
      <c r="E6" s="34" t="s">
        <v>165</v>
      </c>
      <c r="F6" s="13" t="s">
        <v>167</v>
      </c>
      <c r="G6" s="13" t="s">
        <v>168</v>
      </c>
      <c r="H6" s="13">
        <v>34</v>
      </c>
      <c r="I6" s="13">
        <v>29</v>
      </c>
    </row>
    <row r="7" spans="1:9" ht="36" x14ac:dyDescent="0.3">
      <c r="A7" s="260"/>
      <c r="B7" s="269"/>
      <c r="C7" s="234"/>
      <c r="D7" s="12" t="s">
        <v>169</v>
      </c>
      <c r="E7" s="34" t="s">
        <v>170</v>
      </c>
      <c r="F7" s="13" t="s">
        <v>167</v>
      </c>
      <c r="G7" s="13" t="s">
        <v>168</v>
      </c>
      <c r="H7" s="13" t="s">
        <v>431</v>
      </c>
      <c r="I7" s="13" t="s">
        <v>431</v>
      </c>
    </row>
    <row r="8" spans="1:9" ht="36" x14ac:dyDescent="0.3">
      <c r="A8" s="260"/>
      <c r="B8" s="269"/>
      <c r="C8" s="234"/>
      <c r="D8" s="12" t="s">
        <v>171</v>
      </c>
      <c r="E8" s="34" t="s">
        <v>172</v>
      </c>
      <c r="F8" s="13" t="s">
        <v>167</v>
      </c>
      <c r="G8" s="13" t="s">
        <v>173</v>
      </c>
      <c r="H8" s="13" t="s">
        <v>431</v>
      </c>
      <c r="I8" s="13" t="s">
        <v>431</v>
      </c>
    </row>
    <row r="9" spans="1:9" x14ac:dyDescent="0.3">
      <c r="A9" s="260"/>
      <c r="B9" s="269"/>
      <c r="C9" s="234"/>
      <c r="D9" s="12" t="s">
        <v>174</v>
      </c>
      <c r="E9" s="34" t="s">
        <v>175</v>
      </c>
      <c r="F9" s="13" t="s">
        <v>167</v>
      </c>
      <c r="G9" s="13" t="s">
        <v>173</v>
      </c>
      <c r="H9" s="13" t="s">
        <v>431</v>
      </c>
      <c r="I9" s="13" t="s">
        <v>431</v>
      </c>
    </row>
    <row r="10" spans="1:9" ht="24" x14ac:dyDescent="0.3">
      <c r="A10" s="260"/>
      <c r="B10" s="269"/>
      <c r="C10" s="234"/>
      <c r="D10" s="12" t="s">
        <v>176</v>
      </c>
      <c r="E10" s="34" t="s">
        <v>177</v>
      </c>
      <c r="F10" s="13" t="s">
        <v>167</v>
      </c>
      <c r="G10" s="13" t="s">
        <v>173</v>
      </c>
      <c r="H10" s="109">
        <v>5</v>
      </c>
      <c r="I10" s="109">
        <v>5</v>
      </c>
    </row>
    <row r="11" spans="1:9" x14ac:dyDescent="0.3">
      <c r="A11" s="260"/>
      <c r="B11" s="269"/>
      <c r="C11" s="234"/>
      <c r="D11" s="12" t="s">
        <v>178</v>
      </c>
      <c r="E11" s="34" t="s">
        <v>179</v>
      </c>
      <c r="F11" s="13" t="s">
        <v>167</v>
      </c>
      <c r="G11" s="13" t="s">
        <v>173</v>
      </c>
      <c r="H11" s="109">
        <v>15</v>
      </c>
      <c r="I11" s="109">
        <v>12</v>
      </c>
    </row>
    <row r="12" spans="1:9" x14ac:dyDescent="0.3">
      <c r="A12" s="261"/>
      <c r="B12" s="270"/>
      <c r="C12" s="235"/>
      <c r="D12" s="12" t="s">
        <v>180</v>
      </c>
      <c r="E12" s="34" t="s">
        <v>181</v>
      </c>
      <c r="F12" s="13" t="s">
        <v>167</v>
      </c>
      <c r="G12" s="13" t="s">
        <v>173</v>
      </c>
      <c r="H12" s="109">
        <v>19</v>
      </c>
      <c r="I12" s="109">
        <v>18</v>
      </c>
    </row>
    <row r="13" spans="1:9" ht="36" x14ac:dyDescent="0.3">
      <c r="A13" s="35" t="s">
        <v>182</v>
      </c>
      <c r="B13" s="98" t="s">
        <v>429</v>
      </c>
      <c r="C13" s="37" t="s">
        <v>183</v>
      </c>
      <c r="D13" s="12" t="s">
        <v>184</v>
      </c>
      <c r="E13" s="34" t="s">
        <v>184</v>
      </c>
      <c r="F13" s="13" t="s">
        <v>167</v>
      </c>
      <c r="G13" s="13" t="s">
        <v>168</v>
      </c>
      <c r="H13" s="13">
        <v>17</v>
      </c>
      <c r="I13" s="13">
        <v>11</v>
      </c>
    </row>
    <row r="14" spans="1:9" ht="29.4" customHeight="1" x14ac:dyDescent="0.3">
      <c r="A14" s="259" t="s">
        <v>185</v>
      </c>
      <c r="B14" s="268" t="s">
        <v>429</v>
      </c>
      <c r="C14" s="233" t="s">
        <v>186</v>
      </c>
      <c r="D14" s="12" t="s">
        <v>187</v>
      </c>
      <c r="E14" s="34" t="s">
        <v>186</v>
      </c>
      <c r="F14" s="13" t="s">
        <v>188</v>
      </c>
      <c r="G14" s="13" t="s">
        <v>189</v>
      </c>
      <c r="H14" s="109">
        <v>84</v>
      </c>
      <c r="I14" s="13">
        <v>58</v>
      </c>
    </row>
    <row r="15" spans="1:9" ht="31.8" customHeight="1" x14ac:dyDescent="0.3">
      <c r="A15" s="260"/>
      <c r="B15" s="269"/>
      <c r="C15" s="234"/>
      <c r="D15" s="12" t="s">
        <v>180</v>
      </c>
      <c r="E15" s="34" t="s">
        <v>190</v>
      </c>
      <c r="F15" s="13" t="s">
        <v>188</v>
      </c>
      <c r="G15" s="13" t="s">
        <v>189</v>
      </c>
      <c r="H15" s="13" t="s">
        <v>432</v>
      </c>
      <c r="I15" s="13" t="s">
        <v>432</v>
      </c>
    </row>
    <row r="16" spans="1:9" ht="30.6" customHeight="1" x14ac:dyDescent="0.3">
      <c r="A16" s="260"/>
      <c r="B16" s="269"/>
      <c r="C16" s="234"/>
      <c r="D16" s="12" t="s">
        <v>191</v>
      </c>
      <c r="E16" s="34" t="s">
        <v>192</v>
      </c>
      <c r="F16" s="13" t="s">
        <v>188</v>
      </c>
      <c r="G16" s="13" t="s">
        <v>189</v>
      </c>
      <c r="H16" s="13" t="s">
        <v>432</v>
      </c>
      <c r="I16" s="13" t="s">
        <v>432</v>
      </c>
    </row>
    <row r="17" spans="1:9" ht="35.4" customHeight="1" x14ac:dyDescent="0.3">
      <c r="A17" s="260"/>
      <c r="B17" s="269"/>
      <c r="C17" s="234"/>
      <c r="D17" s="12" t="s">
        <v>169</v>
      </c>
      <c r="E17" s="34" t="s">
        <v>193</v>
      </c>
      <c r="F17" s="13" t="s">
        <v>188</v>
      </c>
      <c r="G17" s="13" t="s">
        <v>189</v>
      </c>
      <c r="H17" s="13" t="s">
        <v>432</v>
      </c>
      <c r="I17" s="13" t="s">
        <v>432</v>
      </c>
    </row>
    <row r="18" spans="1:9" ht="31.8" customHeight="1" x14ac:dyDescent="0.3">
      <c r="A18" s="260"/>
      <c r="B18" s="269"/>
      <c r="C18" s="234"/>
      <c r="D18" s="12" t="s">
        <v>171</v>
      </c>
      <c r="E18" s="34" t="s">
        <v>194</v>
      </c>
      <c r="F18" s="13" t="s">
        <v>188</v>
      </c>
      <c r="G18" s="13" t="s">
        <v>189</v>
      </c>
      <c r="H18" s="13" t="s">
        <v>432</v>
      </c>
      <c r="I18" s="13" t="s">
        <v>432</v>
      </c>
    </row>
    <row r="19" spans="1:9" ht="31.2" customHeight="1" x14ac:dyDescent="0.3">
      <c r="A19" s="260"/>
      <c r="B19" s="269"/>
      <c r="C19" s="234"/>
      <c r="D19" s="12" t="s">
        <v>174</v>
      </c>
      <c r="E19" s="34" t="s">
        <v>195</v>
      </c>
      <c r="F19" s="13" t="s">
        <v>188</v>
      </c>
      <c r="G19" s="13" t="s">
        <v>189</v>
      </c>
      <c r="H19" s="13" t="s">
        <v>432</v>
      </c>
      <c r="I19" s="13" t="s">
        <v>432</v>
      </c>
    </row>
    <row r="20" spans="1:9" ht="35.4" customHeight="1" x14ac:dyDescent="0.3">
      <c r="A20" s="261"/>
      <c r="B20" s="270"/>
      <c r="C20" s="235"/>
      <c r="D20" s="12" t="s">
        <v>176</v>
      </c>
      <c r="E20" s="34" t="s">
        <v>196</v>
      </c>
      <c r="F20" s="13" t="s">
        <v>188</v>
      </c>
      <c r="G20" s="13" t="s">
        <v>189</v>
      </c>
      <c r="H20" s="13" t="s">
        <v>432</v>
      </c>
      <c r="I20" s="13" t="s">
        <v>432</v>
      </c>
    </row>
    <row r="21" spans="1:9" ht="30" customHeight="1" x14ac:dyDescent="0.3">
      <c r="A21" s="259" t="s">
        <v>197</v>
      </c>
      <c r="B21" s="143" t="s">
        <v>430</v>
      </c>
      <c r="C21" s="233" t="s">
        <v>198</v>
      </c>
      <c r="D21" s="12" t="s">
        <v>166</v>
      </c>
      <c r="E21" s="34" t="s">
        <v>198</v>
      </c>
      <c r="F21" s="13" t="s">
        <v>188</v>
      </c>
      <c r="G21" s="13" t="s">
        <v>189</v>
      </c>
      <c r="H21" s="13" t="s">
        <v>431</v>
      </c>
      <c r="I21" s="13" t="s">
        <v>431</v>
      </c>
    </row>
    <row r="22" spans="1:9" ht="33.6" customHeight="1" x14ac:dyDescent="0.3">
      <c r="A22" s="260"/>
      <c r="B22" s="144"/>
      <c r="C22" s="234"/>
      <c r="D22" s="12" t="s">
        <v>180</v>
      </c>
      <c r="E22" s="34" t="s">
        <v>199</v>
      </c>
      <c r="F22" s="13" t="s">
        <v>188</v>
      </c>
      <c r="G22" s="13" t="s">
        <v>189</v>
      </c>
      <c r="H22" s="13" t="s">
        <v>431</v>
      </c>
      <c r="I22" s="13" t="s">
        <v>431</v>
      </c>
    </row>
    <row r="23" spans="1:9" ht="33" customHeight="1" x14ac:dyDescent="0.3">
      <c r="A23" s="261"/>
      <c r="B23" s="145"/>
      <c r="C23" s="235"/>
      <c r="D23" s="12" t="s">
        <v>191</v>
      </c>
      <c r="E23" s="34" t="s">
        <v>200</v>
      </c>
      <c r="F23" s="13" t="s">
        <v>188</v>
      </c>
      <c r="G23" s="13" t="s">
        <v>189</v>
      </c>
      <c r="H23" s="13" t="s">
        <v>431</v>
      </c>
      <c r="I23" s="13" t="s">
        <v>431</v>
      </c>
    </row>
    <row r="24" spans="1:9" ht="36" x14ac:dyDescent="0.3">
      <c r="A24" s="35" t="s">
        <v>201</v>
      </c>
      <c r="B24" s="99" t="s">
        <v>429</v>
      </c>
      <c r="C24" s="38" t="s">
        <v>202</v>
      </c>
      <c r="D24" s="12" t="s">
        <v>184</v>
      </c>
      <c r="E24" s="34" t="s">
        <v>184</v>
      </c>
      <c r="F24" s="13" t="s">
        <v>167</v>
      </c>
      <c r="G24" s="13" t="s">
        <v>173</v>
      </c>
      <c r="H24" s="13">
        <v>1</v>
      </c>
      <c r="I24" s="13">
        <v>0</v>
      </c>
    </row>
    <row r="25" spans="1:9" ht="36" x14ac:dyDescent="0.3">
      <c r="A25" s="35" t="s">
        <v>203</v>
      </c>
      <c r="B25" s="108" t="s">
        <v>430</v>
      </c>
      <c r="C25" s="38" t="s">
        <v>204</v>
      </c>
      <c r="D25" s="12" t="s">
        <v>184</v>
      </c>
      <c r="E25" s="34" t="s">
        <v>184</v>
      </c>
      <c r="F25" s="13" t="s">
        <v>167</v>
      </c>
      <c r="G25" s="13" t="s">
        <v>173</v>
      </c>
      <c r="H25" s="13" t="s">
        <v>431</v>
      </c>
      <c r="I25" s="13" t="s">
        <v>431</v>
      </c>
    </row>
    <row r="26" spans="1:9" ht="60" x14ac:dyDescent="0.3">
      <c r="A26" s="35" t="s">
        <v>205</v>
      </c>
      <c r="B26" s="36" t="s">
        <v>430</v>
      </c>
      <c r="C26" s="38" t="s">
        <v>206</v>
      </c>
      <c r="D26" s="12" t="s">
        <v>184</v>
      </c>
      <c r="E26" s="34" t="s">
        <v>184</v>
      </c>
      <c r="F26" s="13" t="s">
        <v>167</v>
      </c>
      <c r="G26" s="13" t="s">
        <v>173</v>
      </c>
      <c r="H26" s="13" t="s">
        <v>431</v>
      </c>
      <c r="I26" s="13" t="s">
        <v>431</v>
      </c>
    </row>
    <row r="27" spans="1:9" ht="72" x14ac:dyDescent="0.3">
      <c r="A27" s="35" t="s">
        <v>207</v>
      </c>
      <c r="B27" s="36" t="s">
        <v>430</v>
      </c>
      <c r="C27" s="38" t="s">
        <v>208</v>
      </c>
      <c r="D27" s="12" t="s">
        <v>184</v>
      </c>
      <c r="E27" s="34" t="s">
        <v>184</v>
      </c>
      <c r="F27" s="13" t="s">
        <v>167</v>
      </c>
      <c r="G27" s="13" t="s">
        <v>173</v>
      </c>
      <c r="H27" s="13" t="s">
        <v>9</v>
      </c>
      <c r="I27" s="13" t="s">
        <v>431</v>
      </c>
    </row>
    <row r="28" spans="1:9" ht="36" x14ac:dyDescent="0.3">
      <c r="A28" s="35" t="s">
        <v>209</v>
      </c>
      <c r="B28" s="36" t="s">
        <v>430</v>
      </c>
      <c r="C28" s="38" t="s">
        <v>210</v>
      </c>
      <c r="D28" s="12" t="s">
        <v>184</v>
      </c>
      <c r="E28" s="34" t="s">
        <v>184</v>
      </c>
      <c r="F28" s="13" t="s">
        <v>167</v>
      </c>
      <c r="G28" s="13" t="s">
        <v>173</v>
      </c>
      <c r="H28" s="13" t="s">
        <v>431</v>
      </c>
      <c r="I28" s="13" t="s">
        <v>431</v>
      </c>
    </row>
    <row r="29" spans="1:9" ht="36" x14ac:dyDescent="0.3">
      <c r="A29" s="35" t="s">
        <v>211</v>
      </c>
      <c r="B29" s="39" t="s">
        <v>430</v>
      </c>
      <c r="C29" s="38" t="s">
        <v>212</v>
      </c>
      <c r="D29" s="12" t="s">
        <v>184</v>
      </c>
      <c r="E29" s="34" t="s">
        <v>184</v>
      </c>
      <c r="F29" s="13" t="s">
        <v>167</v>
      </c>
      <c r="G29" s="13" t="s">
        <v>173</v>
      </c>
      <c r="H29" s="13" t="s">
        <v>431</v>
      </c>
      <c r="I29" s="13" t="s">
        <v>431</v>
      </c>
    </row>
    <row r="30" spans="1:9" ht="48" x14ac:dyDescent="0.3">
      <c r="A30" s="35" t="s">
        <v>213</v>
      </c>
      <c r="B30" s="39" t="s">
        <v>430</v>
      </c>
      <c r="C30" s="38" t="s">
        <v>214</v>
      </c>
      <c r="D30" s="12" t="s">
        <v>184</v>
      </c>
      <c r="E30" s="34" t="s">
        <v>184</v>
      </c>
      <c r="F30" s="13" t="s">
        <v>188</v>
      </c>
      <c r="G30" s="13" t="s">
        <v>173</v>
      </c>
      <c r="H30" s="13" t="s">
        <v>26</v>
      </c>
      <c r="I30" s="13" t="s">
        <v>431</v>
      </c>
    </row>
    <row r="31" spans="1:9" x14ac:dyDescent="0.3">
      <c r="A31" s="259" t="s">
        <v>215</v>
      </c>
      <c r="B31" s="143" t="s">
        <v>430</v>
      </c>
      <c r="C31" s="233" t="s">
        <v>216</v>
      </c>
      <c r="D31" s="12" t="s">
        <v>166</v>
      </c>
      <c r="E31" s="34" t="s">
        <v>216</v>
      </c>
      <c r="F31" s="13" t="s">
        <v>167</v>
      </c>
      <c r="G31" s="13" t="s">
        <v>217</v>
      </c>
      <c r="H31" s="13" t="s">
        <v>431</v>
      </c>
      <c r="I31" s="13" t="s">
        <v>431</v>
      </c>
    </row>
    <row r="32" spans="1:9" x14ac:dyDescent="0.3">
      <c r="A32" s="260"/>
      <c r="B32" s="144"/>
      <c r="C32" s="234"/>
      <c r="D32" s="12" t="s">
        <v>218</v>
      </c>
      <c r="E32" s="34" t="s">
        <v>219</v>
      </c>
      <c r="F32" s="13" t="s">
        <v>167</v>
      </c>
      <c r="G32" s="13" t="s">
        <v>217</v>
      </c>
      <c r="H32" s="13" t="s">
        <v>431</v>
      </c>
      <c r="I32" s="13" t="s">
        <v>431</v>
      </c>
    </row>
    <row r="33" spans="1:9" x14ac:dyDescent="0.3">
      <c r="A33" s="261"/>
      <c r="B33" s="145"/>
      <c r="C33" s="235"/>
      <c r="D33" s="12" t="s">
        <v>220</v>
      </c>
      <c r="E33" s="34" t="s">
        <v>221</v>
      </c>
      <c r="F33" s="13" t="s">
        <v>167</v>
      </c>
      <c r="G33" s="13" t="s">
        <v>217</v>
      </c>
      <c r="H33" s="13" t="s">
        <v>431</v>
      </c>
      <c r="I33" s="13" t="s">
        <v>431</v>
      </c>
    </row>
    <row r="34" spans="1:9" ht="60" x14ac:dyDescent="0.3">
      <c r="A34" s="35" t="s">
        <v>222</v>
      </c>
      <c r="B34" s="94" t="s">
        <v>430</v>
      </c>
      <c r="C34" s="38" t="s">
        <v>223</v>
      </c>
      <c r="D34" s="12" t="s">
        <v>184</v>
      </c>
      <c r="E34" s="34" t="s">
        <v>184</v>
      </c>
      <c r="F34" s="13" t="s">
        <v>188</v>
      </c>
      <c r="G34" s="13" t="s">
        <v>224</v>
      </c>
      <c r="H34" s="13" t="s">
        <v>431</v>
      </c>
      <c r="I34" s="13" t="s">
        <v>431</v>
      </c>
    </row>
    <row r="35" spans="1:9" ht="36" x14ac:dyDescent="0.3">
      <c r="A35" s="35" t="s">
        <v>225</v>
      </c>
      <c r="B35" s="95" t="s">
        <v>430</v>
      </c>
      <c r="C35" s="38" t="s">
        <v>226</v>
      </c>
      <c r="D35" s="12" t="s">
        <v>184</v>
      </c>
      <c r="E35" s="34" t="s">
        <v>184</v>
      </c>
      <c r="F35" s="13" t="s">
        <v>188</v>
      </c>
      <c r="G35" s="13" t="s">
        <v>224</v>
      </c>
      <c r="H35" s="13" t="s">
        <v>431</v>
      </c>
      <c r="I35" s="13" t="s">
        <v>431</v>
      </c>
    </row>
    <row r="36" spans="1:9" ht="24" x14ac:dyDescent="0.3">
      <c r="A36" s="103" t="s">
        <v>227</v>
      </c>
      <c r="B36" s="104" t="s">
        <v>429</v>
      </c>
      <c r="C36" s="105" t="s">
        <v>228</v>
      </c>
      <c r="D36" s="106" t="s">
        <v>184</v>
      </c>
      <c r="E36" s="40" t="s">
        <v>184</v>
      </c>
      <c r="F36" s="41" t="s">
        <v>167</v>
      </c>
      <c r="G36" s="107" t="s">
        <v>173</v>
      </c>
      <c r="H36" s="41">
        <v>0</v>
      </c>
      <c r="I36" s="41">
        <v>0</v>
      </c>
    </row>
    <row r="37" spans="1:9" x14ac:dyDescent="0.3">
      <c r="A37" s="101"/>
      <c r="B37" s="102"/>
      <c r="C37" s="101"/>
      <c r="D37" s="101"/>
      <c r="E37" s="101"/>
      <c r="F37" s="101"/>
      <c r="G37" s="102"/>
      <c r="H37" s="101"/>
      <c r="I37" s="101"/>
    </row>
    <row r="38" spans="1:9" x14ac:dyDescent="0.3">
      <c r="A38" s="264" t="s">
        <v>157</v>
      </c>
      <c r="B38" s="265"/>
      <c r="C38" s="265"/>
      <c r="D38" s="265"/>
      <c r="E38" s="265"/>
      <c r="F38" s="265"/>
      <c r="G38" s="265"/>
      <c r="H38" s="265"/>
      <c r="I38" s="266"/>
    </row>
    <row r="39" spans="1:9" x14ac:dyDescent="0.3">
      <c r="A39" s="264" t="s">
        <v>229</v>
      </c>
      <c r="B39" s="265"/>
      <c r="C39" s="265"/>
      <c r="D39" s="265"/>
      <c r="E39" s="265"/>
      <c r="F39" s="265"/>
      <c r="G39" s="265"/>
      <c r="H39" s="265"/>
      <c r="I39" s="266"/>
    </row>
    <row r="40" spans="1:9" x14ac:dyDescent="0.3">
      <c r="A40" s="242" t="s">
        <v>230</v>
      </c>
      <c r="B40" s="267"/>
      <c r="C40" s="267"/>
      <c r="D40" s="267"/>
      <c r="E40" s="267"/>
      <c r="F40" s="267"/>
      <c r="G40" s="267"/>
      <c r="H40" s="267"/>
      <c r="I40" s="243"/>
    </row>
    <row r="41" spans="1:9" ht="25.8" customHeight="1" x14ac:dyDescent="0.3">
      <c r="A41" s="256" t="s">
        <v>158</v>
      </c>
      <c r="B41" s="258" t="s">
        <v>159</v>
      </c>
      <c r="C41" s="244" t="s">
        <v>160</v>
      </c>
      <c r="D41" s="246" t="s">
        <v>161</v>
      </c>
      <c r="E41" s="248" t="s">
        <v>160</v>
      </c>
      <c r="F41" s="250" t="s">
        <v>162</v>
      </c>
      <c r="G41" s="250" t="s">
        <v>65</v>
      </c>
      <c r="H41" s="262" t="s">
        <v>163</v>
      </c>
      <c r="I41" s="263"/>
    </row>
    <row r="42" spans="1:9" x14ac:dyDescent="0.3">
      <c r="A42" s="257"/>
      <c r="B42" s="258"/>
      <c r="C42" s="245"/>
      <c r="D42" s="247"/>
      <c r="E42" s="249"/>
      <c r="F42" s="251"/>
      <c r="G42" s="251"/>
      <c r="H42" s="33" t="s">
        <v>72</v>
      </c>
      <c r="I42" s="33" t="s">
        <v>73</v>
      </c>
    </row>
    <row r="43" spans="1:9" x14ac:dyDescent="0.3">
      <c r="A43" s="43" t="s">
        <v>231</v>
      </c>
      <c r="B43" s="98" t="s">
        <v>429</v>
      </c>
      <c r="C43" s="38" t="s">
        <v>232</v>
      </c>
      <c r="D43" s="12" t="s">
        <v>184</v>
      </c>
      <c r="E43" s="34" t="s">
        <v>184</v>
      </c>
      <c r="F43" s="13" t="s">
        <v>167</v>
      </c>
      <c r="G43" s="13" t="s">
        <v>173</v>
      </c>
      <c r="H43" s="109">
        <f>21+10</f>
        <v>31</v>
      </c>
      <c r="I43" s="109">
        <v>25</v>
      </c>
    </row>
    <row r="44" spans="1:9" x14ac:dyDescent="0.3">
      <c r="A44" s="43" t="s">
        <v>233</v>
      </c>
      <c r="B44" s="98" t="s">
        <v>429</v>
      </c>
      <c r="C44" s="38" t="s">
        <v>234</v>
      </c>
      <c r="D44" s="12" t="s">
        <v>184</v>
      </c>
      <c r="E44" s="34" t="s">
        <v>184</v>
      </c>
      <c r="F44" s="13" t="s">
        <v>188</v>
      </c>
      <c r="G44" s="13" t="s">
        <v>235</v>
      </c>
      <c r="H44" s="109">
        <f>20+198</f>
        <v>218</v>
      </c>
      <c r="I44" s="109">
        <f>20+205</f>
        <v>225</v>
      </c>
    </row>
    <row r="45" spans="1:9" ht="36" x14ac:dyDescent="0.3">
      <c r="A45" s="43" t="s">
        <v>236</v>
      </c>
      <c r="B45" s="36" t="s">
        <v>430</v>
      </c>
      <c r="C45" s="38" t="s">
        <v>237</v>
      </c>
      <c r="D45" s="12" t="s">
        <v>184</v>
      </c>
      <c r="E45" s="34" t="s">
        <v>184</v>
      </c>
      <c r="F45" s="13" t="s">
        <v>188</v>
      </c>
      <c r="G45" s="13" t="s">
        <v>224</v>
      </c>
      <c r="H45" s="13" t="s">
        <v>26</v>
      </c>
      <c r="I45" s="13" t="s">
        <v>431</v>
      </c>
    </row>
    <row r="46" spans="1:9" x14ac:dyDescent="0.3">
      <c r="A46" s="259" t="s">
        <v>238</v>
      </c>
      <c r="B46" s="143" t="s">
        <v>430</v>
      </c>
      <c r="C46" s="233" t="s">
        <v>239</v>
      </c>
      <c r="D46" s="12" t="s">
        <v>166</v>
      </c>
      <c r="E46" s="34" t="s">
        <v>239</v>
      </c>
      <c r="F46" s="13" t="s">
        <v>167</v>
      </c>
      <c r="G46" s="13" t="s">
        <v>173</v>
      </c>
      <c r="H46" s="13" t="s">
        <v>431</v>
      </c>
      <c r="I46" s="13" t="s">
        <v>431</v>
      </c>
    </row>
    <row r="47" spans="1:9" x14ac:dyDescent="0.3">
      <c r="A47" s="260"/>
      <c r="B47" s="144"/>
      <c r="C47" s="234"/>
      <c r="D47" s="12" t="s">
        <v>240</v>
      </c>
      <c r="E47" s="34" t="s">
        <v>241</v>
      </c>
      <c r="F47" s="13" t="s">
        <v>167</v>
      </c>
      <c r="G47" s="13" t="s">
        <v>173</v>
      </c>
      <c r="H47" s="13" t="s">
        <v>431</v>
      </c>
      <c r="I47" s="13" t="s">
        <v>431</v>
      </c>
    </row>
    <row r="48" spans="1:9" x14ac:dyDescent="0.3">
      <c r="A48" s="260"/>
      <c r="B48" s="144"/>
      <c r="C48" s="234"/>
      <c r="D48" s="12" t="s">
        <v>242</v>
      </c>
      <c r="E48" s="34" t="s">
        <v>243</v>
      </c>
      <c r="F48" s="13" t="s">
        <v>167</v>
      </c>
      <c r="G48" s="13" t="s">
        <v>173</v>
      </c>
      <c r="H48" s="13" t="s">
        <v>431</v>
      </c>
      <c r="I48" s="13" t="s">
        <v>431</v>
      </c>
    </row>
    <row r="49" spans="1:9" x14ac:dyDescent="0.3">
      <c r="A49" s="261"/>
      <c r="B49" s="145"/>
      <c r="C49" s="235"/>
      <c r="D49" s="12" t="s">
        <v>244</v>
      </c>
      <c r="E49" s="34" t="s">
        <v>245</v>
      </c>
      <c r="F49" s="13" t="s">
        <v>167</v>
      </c>
      <c r="G49" s="13" t="s">
        <v>173</v>
      </c>
      <c r="H49" s="13" t="s">
        <v>431</v>
      </c>
      <c r="I49" s="13" t="s">
        <v>431</v>
      </c>
    </row>
    <row r="50" spans="1:9" x14ac:dyDescent="0.3">
      <c r="A50" s="259" t="s">
        <v>246</v>
      </c>
      <c r="B50" s="143" t="s">
        <v>430</v>
      </c>
      <c r="C50" s="233" t="s">
        <v>247</v>
      </c>
      <c r="D50" s="12" t="s">
        <v>166</v>
      </c>
      <c r="E50" s="34" t="s">
        <v>247</v>
      </c>
      <c r="F50" s="13" t="s">
        <v>167</v>
      </c>
      <c r="G50" s="13" t="s">
        <v>173</v>
      </c>
      <c r="H50" s="13" t="s">
        <v>431</v>
      </c>
      <c r="I50" s="13" t="s">
        <v>431</v>
      </c>
    </row>
    <row r="51" spans="1:9" x14ac:dyDescent="0.3">
      <c r="A51" s="260"/>
      <c r="B51" s="144"/>
      <c r="C51" s="234"/>
      <c r="D51" s="12" t="s">
        <v>240</v>
      </c>
      <c r="E51" s="34" t="s">
        <v>248</v>
      </c>
      <c r="F51" s="13" t="s">
        <v>167</v>
      </c>
      <c r="G51" s="13" t="s">
        <v>173</v>
      </c>
      <c r="H51" s="13" t="s">
        <v>431</v>
      </c>
      <c r="I51" s="13" t="s">
        <v>431</v>
      </c>
    </row>
    <row r="52" spans="1:9" x14ac:dyDescent="0.3">
      <c r="A52" s="260"/>
      <c r="B52" s="144"/>
      <c r="C52" s="234"/>
      <c r="D52" s="12" t="s">
        <v>242</v>
      </c>
      <c r="E52" s="34" t="s">
        <v>249</v>
      </c>
      <c r="F52" s="13" t="s">
        <v>167</v>
      </c>
      <c r="G52" s="13" t="s">
        <v>173</v>
      </c>
      <c r="H52" s="13" t="s">
        <v>431</v>
      </c>
      <c r="I52" s="13" t="s">
        <v>431</v>
      </c>
    </row>
    <row r="53" spans="1:9" x14ac:dyDescent="0.3">
      <c r="A53" s="261"/>
      <c r="B53" s="145"/>
      <c r="C53" s="235"/>
      <c r="D53" s="12" t="s">
        <v>244</v>
      </c>
      <c r="E53" s="34" t="s">
        <v>250</v>
      </c>
      <c r="F53" s="13" t="s">
        <v>167</v>
      </c>
      <c r="G53" s="13" t="s">
        <v>173</v>
      </c>
      <c r="H53" s="13" t="s">
        <v>431</v>
      </c>
      <c r="I53" s="13" t="s">
        <v>431</v>
      </c>
    </row>
    <row r="54" spans="1:9" ht="24" x14ac:dyDescent="0.3">
      <c r="A54" s="43" t="s">
        <v>251</v>
      </c>
      <c r="B54" s="98" t="s">
        <v>429</v>
      </c>
      <c r="C54" s="38" t="s">
        <v>252</v>
      </c>
      <c r="D54" s="12" t="s">
        <v>184</v>
      </c>
      <c r="E54" s="34" t="s">
        <v>184</v>
      </c>
      <c r="F54" s="13" t="s">
        <v>167</v>
      </c>
      <c r="G54" s="13" t="s">
        <v>173</v>
      </c>
      <c r="H54" s="13">
        <v>22</v>
      </c>
      <c r="I54" s="13">
        <v>22</v>
      </c>
    </row>
    <row r="55" spans="1:9" ht="60" x14ac:dyDescent="0.3">
      <c r="A55" s="43" t="s">
        <v>253</v>
      </c>
      <c r="B55" s="98" t="s">
        <v>429</v>
      </c>
      <c r="C55" s="38" t="s">
        <v>254</v>
      </c>
      <c r="D55" s="12" t="s">
        <v>184</v>
      </c>
      <c r="E55" s="34" t="s">
        <v>184</v>
      </c>
      <c r="F55" s="13" t="s">
        <v>188</v>
      </c>
      <c r="G55" s="13" t="s">
        <v>224</v>
      </c>
      <c r="H55" s="13" t="s">
        <v>26</v>
      </c>
      <c r="I55" s="13">
        <v>460</v>
      </c>
    </row>
    <row r="56" spans="1:9" x14ac:dyDescent="0.3">
      <c r="A56" s="259" t="s">
        <v>255</v>
      </c>
      <c r="B56" s="143" t="s">
        <v>430</v>
      </c>
      <c r="C56" s="233" t="s">
        <v>256</v>
      </c>
      <c r="D56" s="12" t="s">
        <v>166</v>
      </c>
      <c r="E56" s="34" t="s">
        <v>256</v>
      </c>
      <c r="F56" s="13" t="s">
        <v>167</v>
      </c>
      <c r="G56" s="13" t="s">
        <v>217</v>
      </c>
      <c r="H56" s="13" t="s">
        <v>433</v>
      </c>
      <c r="I56" s="13" t="s">
        <v>431</v>
      </c>
    </row>
    <row r="57" spans="1:9" x14ac:dyDescent="0.3">
      <c r="A57" s="260"/>
      <c r="B57" s="144"/>
      <c r="C57" s="234"/>
      <c r="D57" s="12" t="s">
        <v>257</v>
      </c>
      <c r="E57" s="34" t="s">
        <v>258</v>
      </c>
      <c r="F57" s="13" t="s">
        <v>167</v>
      </c>
      <c r="G57" s="13" t="s">
        <v>217</v>
      </c>
      <c r="H57" s="13" t="s">
        <v>433</v>
      </c>
      <c r="I57" s="13" t="s">
        <v>431</v>
      </c>
    </row>
    <row r="58" spans="1:9" ht="18.600000000000001" customHeight="1" x14ac:dyDescent="0.3">
      <c r="A58" s="261"/>
      <c r="B58" s="145"/>
      <c r="C58" s="235"/>
      <c r="D58" s="12" t="s">
        <v>259</v>
      </c>
      <c r="E58" s="34" t="s">
        <v>260</v>
      </c>
      <c r="F58" s="13" t="s">
        <v>167</v>
      </c>
      <c r="G58" s="13" t="s">
        <v>217</v>
      </c>
      <c r="H58" s="13" t="s">
        <v>433</v>
      </c>
      <c r="I58" s="13" t="s">
        <v>431</v>
      </c>
    </row>
    <row r="59" spans="1:9" ht="36" x14ac:dyDescent="0.3">
      <c r="A59" s="43" t="s">
        <v>261</v>
      </c>
      <c r="B59" s="39" t="s">
        <v>430</v>
      </c>
      <c r="C59" s="38" t="s">
        <v>262</v>
      </c>
      <c r="D59" s="12" t="s">
        <v>184</v>
      </c>
      <c r="E59" s="34" t="s">
        <v>184</v>
      </c>
      <c r="F59" s="13" t="s">
        <v>167</v>
      </c>
      <c r="G59" s="13" t="s">
        <v>173</v>
      </c>
      <c r="H59" s="13" t="s">
        <v>433</v>
      </c>
      <c r="I59" s="13" t="s">
        <v>431</v>
      </c>
    </row>
    <row r="60" spans="1:9" ht="60" x14ac:dyDescent="0.3">
      <c r="A60" s="43" t="s">
        <v>263</v>
      </c>
      <c r="B60" s="100" t="s">
        <v>429</v>
      </c>
      <c r="C60" s="38" t="s">
        <v>264</v>
      </c>
      <c r="D60" s="12" t="s">
        <v>184</v>
      </c>
      <c r="E60" s="34" t="s">
        <v>184</v>
      </c>
      <c r="F60" s="13" t="s">
        <v>167</v>
      </c>
      <c r="G60" s="13" t="s">
        <v>173</v>
      </c>
      <c r="H60" s="13">
        <v>6</v>
      </c>
      <c r="I60" s="13">
        <v>5</v>
      </c>
    </row>
    <row r="61" spans="1:9" ht="60" x14ac:dyDescent="0.3">
      <c r="A61" s="43" t="s">
        <v>265</v>
      </c>
      <c r="B61" s="100" t="s">
        <v>429</v>
      </c>
      <c r="C61" s="38" t="s">
        <v>266</v>
      </c>
      <c r="D61" s="12" t="s">
        <v>184</v>
      </c>
      <c r="E61" s="34" t="s">
        <v>184</v>
      </c>
      <c r="F61" s="13" t="s">
        <v>167</v>
      </c>
      <c r="G61" s="13" t="s">
        <v>173</v>
      </c>
      <c r="H61" s="13">
        <v>6</v>
      </c>
      <c r="I61" s="13">
        <v>5</v>
      </c>
    </row>
    <row r="62" spans="1:9" x14ac:dyDescent="0.3">
      <c r="A62" s="43" t="s">
        <v>267</v>
      </c>
      <c r="B62" s="100" t="s">
        <v>429</v>
      </c>
      <c r="C62" s="37" t="s">
        <v>268</v>
      </c>
      <c r="D62" s="12" t="s">
        <v>184</v>
      </c>
      <c r="E62" s="34" t="s">
        <v>184</v>
      </c>
      <c r="F62" s="13" t="s">
        <v>167</v>
      </c>
      <c r="G62" s="13" t="s">
        <v>173</v>
      </c>
      <c r="H62" s="13">
        <v>9</v>
      </c>
      <c r="I62" s="13">
        <v>9</v>
      </c>
    </row>
    <row r="63" spans="1:9" ht="24" x14ac:dyDescent="0.3">
      <c r="A63" s="43" t="s">
        <v>269</v>
      </c>
      <c r="B63" s="100" t="s">
        <v>429</v>
      </c>
      <c r="C63" s="37" t="s">
        <v>270</v>
      </c>
      <c r="D63" s="12" t="s">
        <v>184</v>
      </c>
      <c r="E63" s="34" t="s">
        <v>184</v>
      </c>
      <c r="F63" s="13" t="s">
        <v>167</v>
      </c>
      <c r="G63" s="13" t="s">
        <v>173</v>
      </c>
      <c r="H63" s="13">
        <v>35</v>
      </c>
      <c r="I63" s="13">
        <v>29</v>
      </c>
    </row>
    <row r="64" spans="1:9" x14ac:dyDescent="0.3">
      <c r="A64" s="42"/>
      <c r="B64" s="42"/>
      <c r="C64" s="42"/>
      <c r="D64" s="42"/>
      <c r="E64" s="42"/>
      <c r="F64" s="42"/>
      <c r="G64" s="42"/>
      <c r="H64" s="42"/>
      <c r="I64" s="42"/>
    </row>
    <row r="65" spans="1:9" x14ac:dyDescent="0.3">
      <c r="A65" s="237" t="s">
        <v>230</v>
      </c>
      <c r="B65" s="238"/>
      <c r="C65" s="238"/>
      <c r="D65" s="238"/>
      <c r="E65" s="238"/>
      <c r="F65" s="238"/>
      <c r="G65" s="238"/>
      <c r="H65" s="238"/>
      <c r="I65" s="239"/>
    </row>
    <row r="66" spans="1:9" ht="25.8" customHeight="1" x14ac:dyDescent="0.3">
      <c r="A66" s="256" t="s">
        <v>158</v>
      </c>
      <c r="B66" s="258" t="s">
        <v>159</v>
      </c>
      <c r="C66" s="244" t="s">
        <v>160</v>
      </c>
      <c r="D66" s="246" t="s">
        <v>161</v>
      </c>
      <c r="E66" s="248" t="s">
        <v>160</v>
      </c>
      <c r="F66" s="250" t="s">
        <v>162</v>
      </c>
      <c r="G66" s="250" t="s">
        <v>65</v>
      </c>
      <c r="H66" s="262" t="s">
        <v>163</v>
      </c>
      <c r="I66" s="263"/>
    </row>
    <row r="67" spans="1:9" ht="19.8" customHeight="1" x14ac:dyDescent="0.3">
      <c r="A67" s="257"/>
      <c r="B67" s="258"/>
      <c r="C67" s="245"/>
      <c r="D67" s="247"/>
      <c r="E67" s="249"/>
      <c r="F67" s="251"/>
      <c r="G67" s="251"/>
      <c r="H67" s="33" t="s">
        <v>72</v>
      </c>
      <c r="I67" s="33" t="s">
        <v>73</v>
      </c>
    </row>
    <row r="68" spans="1:9" x14ac:dyDescent="0.3">
      <c r="A68" s="236" t="s">
        <v>271</v>
      </c>
      <c r="B68" s="143" t="s">
        <v>430</v>
      </c>
      <c r="C68" s="233" t="s">
        <v>272</v>
      </c>
      <c r="D68" s="12" t="s">
        <v>166</v>
      </c>
      <c r="E68" s="34" t="s">
        <v>272</v>
      </c>
      <c r="F68" s="13" t="s">
        <v>167</v>
      </c>
      <c r="G68" s="13" t="s">
        <v>173</v>
      </c>
      <c r="H68" s="13" t="s">
        <v>431</v>
      </c>
      <c r="I68" s="13" t="s">
        <v>431</v>
      </c>
    </row>
    <row r="69" spans="1:9" x14ac:dyDescent="0.3">
      <c r="A69" s="236"/>
      <c r="B69" s="144"/>
      <c r="C69" s="234"/>
      <c r="D69" s="12" t="s">
        <v>273</v>
      </c>
      <c r="E69" s="34" t="s">
        <v>274</v>
      </c>
      <c r="F69" s="13" t="s">
        <v>167</v>
      </c>
      <c r="G69" s="13" t="s">
        <v>173</v>
      </c>
      <c r="H69" s="13" t="s">
        <v>431</v>
      </c>
      <c r="I69" s="13" t="s">
        <v>431</v>
      </c>
    </row>
    <row r="70" spans="1:9" x14ac:dyDescent="0.3">
      <c r="A70" s="236"/>
      <c r="B70" s="145"/>
      <c r="C70" s="235"/>
      <c r="D70" s="12" t="s">
        <v>275</v>
      </c>
      <c r="E70" s="34" t="s">
        <v>276</v>
      </c>
      <c r="F70" s="13" t="s">
        <v>167</v>
      </c>
      <c r="G70" s="13" t="s">
        <v>173</v>
      </c>
      <c r="H70" s="13" t="s">
        <v>431</v>
      </c>
      <c r="I70" s="13" t="s">
        <v>431</v>
      </c>
    </row>
    <row r="71" spans="1:9" x14ac:dyDescent="0.3">
      <c r="A71" s="236" t="s">
        <v>277</v>
      </c>
      <c r="B71" s="143" t="s">
        <v>430</v>
      </c>
      <c r="C71" s="233" t="s">
        <v>278</v>
      </c>
      <c r="D71" s="12" t="s">
        <v>166</v>
      </c>
      <c r="E71" s="34" t="s">
        <v>278</v>
      </c>
      <c r="F71" s="13" t="s">
        <v>167</v>
      </c>
      <c r="G71" s="13" t="s">
        <v>173</v>
      </c>
      <c r="H71" s="13" t="s">
        <v>431</v>
      </c>
      <c r="I71" s="13" t="s">
        <v>431</v>
      </c>
    </row>
    <row r="72" spans="1:9" x14ac:dyDescent="0.3">
      <c r="A72" s="236"/>
      <c r="B72" s="144"/>
      <c r="C72" s="234"/>
      <c r="D72" s="12" t="s">
        <v>273</v>
      </c>
      <c r="E72" s="34" t="s">
        <v>279</v>
      </c>
      <c r="F72" s="13" t="s">
        <v>167</v>
      </c>
      <c r="G72" s="13" t="s">
        <v>173</v>
      </c>
      <c r="H72" s="13" t="s">
        <v>431</v>
      </c>
      <c r="I72" s="13" t="s">
        <v>431</v>
      </c>
    </row>
    <row r="73" spans="1:9" x14ac:dyDescent="0.3">
      <c r="A73" s="236"/>
      <c r="B73" s="145"/>
      <c r="C73" s="235"/>
      <c r="D73" s="12" t="s">
        <v>275</v>
      </c>
      <c r="E73" s="34" t="s">
        <v>280</v>
      </c>
      <c r="F73" s="13" t="s">
        <v>167</v>
      </c>
      <c r="G73" s="13" t="s">
        <v>173</v>
      </c>
      <c r="H73" s="13" t="s">
        <v>431</v>
      </c>
      <c r="I73" s="13" t="s">
        <v>431</v>
      </c>
    </row>
    <row r="74" spans="1:9" x14ac:dyDescent="0.3">
      <c r="A74" s="236" t="s">
        <v>281</v>
      </c>
      <c r="B74" s="143" t="s">
        <v>430</v>
      </c>
      <c r="C74" s="233" t="s">
        <v>282</v>
      </c>
      <c r="D74" s="12" t="s">
        <v>166</v>
      </c>
      <c r="E74" s="34" t="s">
        <v>282</v>
      </c>
      <c r="F74" s="13" t="s">
        <v>188</v>
      </c>
      <c r="G74" s="13" t="s">
        <v>173</v>
      </c>
      <c r="H74" s="13" t="s">
        <v>431</v>
      </c>
      <c r="I74" s="13" t="s">
        <v>431</v>
      </c>
    </row>
    <row r="75" spans="1:9" x14ac:dyDescent="0.3">
      <c r="A75" s="236"/>
      <c r="B75" s="144"/>
      <c r="C75" s="234"/>
      <c r="D75" s="12" t="s">
        <v>283</v>
      </c>
      <c r="E75" s="34" t="s">
        <v>284</v>
      </c>
      <c r="F75" s="13" t="s">
        <v>188</v>
      </c>
      <c r="G75" s="13" t="s">
        <v>173</v>
      </c>
      <c r="H75" s="13" t="s">
        <v>431</v>
      </c>
      <c r="I75" s="13" t="s">
        <v>431</v>
      </c>
    </row>
    <row r="76" spans="1:9" x14ac:dyDescent="0.3">
      <c r="A76" s="236"/>
      <c r="B76" s="144"/>
      <c r="C76" s="234"/>
      <c r="D76" s="12" t="s">
        <v>285</v>
      </c>
      <c r="E76" s="34" t="s">
        <v>286</v>
      </c>
      <c r="F76" s="13" t="s">
        <v>188</v>
      </c>
      <c r="G76" s="13" t="s">
        <v>173</v>
      </c>
      <c r="H76" s="13" t="s">
        <v>431</v>
      </c>
      <c r="I76" s="13" t="s">
        <v>431</v>
      </c>
    </row>
    <row r="77" spans="1:9" x14ac:dyDescent="0.3">
      <c r="A77" s="236"/>
      <c r="B77" s="144"/>
      <c r="C77" s="234"/>
      <c r="D77" s="12" t="s">
        <v>287</v>
      </c>
      <c r="E77" s="34" t="s">
        <v>288</v>
      </c>
      <c r="F77" s="13" t="s">
        <v>188</v>
      </c>
      <c r="G77" s="13" t="s">
        <v>173</v>
      </c>
      <c r="H77" s="13" t="s">
        <v>431</v>
      </c>
      <c r="I77" s="13" t="s">
        <v>431</v>
      </c>
    </row>
    <row r="78" spans="1:9" x14ac:dyDescent="0.3">
      <c r="A78" s="236"/>
      <c r="B78" s="144"/>
      <c r="C78" s="234"/>
      <c r="D78" s="12" t="s">
        <v>289</v>
      </c>
      <c r="E78" s="34" t="s">
        <v>290</v>
      </c>
      <c r="F78" s="13" t="s">
        <v>188</v>
      </c>
      <c r="G78" s="13" t="s">
        <v>173</v>
      </c>
      <c r="H78" s="13" t="s">
        <v>431</v>
      </c>
      <c r="I78" s="13" t="s">
        <v>431</v>
      </c>
    </row>
    <row r="79" spans="1:9" x14ac:dyDescent="0.3">
      <c r="A79" s="236"/>
      <c r="B79" s="145"/>
      <c r="C79" s="235"/>
      <c r="D79" s="12" t="s">
        <v>291</v>
      </c>
      <c r="E79" s="34" t="s">
        <v>292</v>
      </c>
      <c r="F79" s="13" t="s">
        <v>188</v>
      </c>
      <c r="G79" s="13" t="s">
        <v>173</v>
      </c>
      <c r="H79" s="13" t="s">
        <v>431</v>
      </c>
      <c r="I79" s="13" t="s">
        <v>431</v>
      </c>
    </row>
    <row r="80" spans="1:9" x14ac:dyDescent="0.3">
      <c r="A80" s="236" t="s">
        <v>293</v>
      </c>
      <c r="B80" s="143" t="s">
        <v>430</v>
      </c>
      <c r="C80" s="233" t="s">
        <v>294</v>
      </c>
      <c r="D80" s="12" t="s">
        <v>166</v>
      </c>
      <c r="E80" s="34" t="s">
        <v>294</v>
      </c>
      <c r="F80" s="13" t="s">
        <v>188</v>
      </c>
      <c r="G80" s="13" t="s">
        <v>173</v>
      </c>
      <c r="H80" s="13" t="s">
        <v>431</v>
      </c>
      <c r="I80" s="13" t="s">
        <v>431</v>
      </c>
    </row>
    <row r="81" spans="1:9" x14ac:dyDescent="0.3">
      <c r="A81" s="236"/>
      <c r="B81" s="144"/>
      <c r="C81" s="234"/>
      <c r="D81" s="12" t="s">
        <v>295</v>
      </c>
      <c r="E81" s="34" t="s">
        <v>296</v>
      </c>
      <c r="F81" s="13" t="s">
        <v>188</v>
      </c>
      <c r="G81" s="13" t="s">
        <v>173</v>
      </c>
      <c r="H81" s="13" t="s">
        <v>431</v>
      </c>
      <c r="I81" s="13" t="s">
        <v>431</v>
      </c>
    </row>
    <row r="82" spans="1:9" ht="36" x14ac:dyDescent="0.3">
      <c r="A82" s="236"/>
      <c r="B82" s="144"/>
      <c r="C82" s="234"/>
      <c r="D82" s="12" t="s">
        <v>169</v>
      </c>
      <c r="E82" s="34" t="s">
        <v>297</v>
      </c>
      <c r="F82" s="13" t="s">
        <v>188</v>
      </c>
      <c r="G82" s="13" t="s">
        <v>173</v>
      </c>
      <c r="H82" s="13" t="s">
        <v>431</v>
      </c>
      <c r="I82" s="13" t="s">
        <v>431</v>
      </c>
    </row>
    <row r="83" spans="1:9" ht="36" x14ac:dyDescent="0.3">
      <c r="A83" s="236"/>
      <c r="B83" s="144"/>
      <c r="C83" s="234"/>
      <c r="D83" s="12" t="s">
        <v>171</v>
      </c>
      <c r="E83" s="34" t="s">
        <v>298</v>
      </c>
      <c r="F83" s="13" t="s">
        <v>188</v>
      </c>
      <c r="G83" s="13" t="s">
        <v>173</v>
      </c>
      <c r="H83" s="13" t="s">
        <v>431</v>
      </c>
      <c r="I83" s="13" t="s">
        <v>431</v>
      </c>
    </row>
    <row r="84" spans="1:9" x14ac:dyDescent="0.3">
      <c r="A84" s="236"/>
      <c r="B84" s="144"/>
      <c r="C84" s="234"/>
      <c r="D84" s="12" t="s">
        <v>174</v>
      </c>
      <c r="E84" s="34" t="s">
        <v>299</v>
      </c>
      <c r="F84" s="13" t="s">
        <v>188</v>
      </c>
      <c r="G84" s="13" t="s">
        <v>173</v>
      </c>
      <c r="H84" s="13" t="s">
        <v>431</v>
      </c>
      <c r="I84" s="13" t="s">
        <v>431</v>
      </c>
    </row>
    <row r="85" spans="1:9" ht="24" x14ac:dyDescent="0.3">
      <c r="A85" s="236"/>
      <c r="B85" s="144"/>
      <c r="C85" s="234"/>
      <c r="D85" s="12" t="s">
        <v>300</v>
      </c>
      <c r="E85" s="34" t="s">
        <v>301</v>
      </c>
      <c r="F85" s="13" t="s">
        <v>188</v>
      </c>
      <c r="G85" s="13" t="s">
        <v>173</v>
      </c>
      <c r="H85" s="13" t="s">
        <v>431</v>
      </c>
      <c r="I85" s="13" t="s">
        <v>431</v>
      </c>
    </row>
    <row r="86" spans="1:9" x14ac:dyDescent="0.3">
      <c r="A86" s="236"/>
      <c r="B86" s="144"/>
      <c r="C86" s="234"/>
      <c r="D86" s="12" t="s">
        <v>302</v>
      </c>
      <c r="E86" s="34" t="s">
        <v>303</v>
      </c>
      <c r="F86" s="13" t="s">
        <v>188</v>
      </c>
      <c r="G86" s="13" t="s">
        <v>173</v>
      </c>
      <c r="H86" s="13" t="s">
        <v>431</v>
      </c>
      <c r="I86" s="13" t="s">
        <v>431</v>
      </c>
    </row>
    <row r="87" spans="1:9" x14ac:dyDescent="0.3">
      <c r="A87" s="236"/>
      <c r="B87" s="144"/>
      <c r="C87" s="234"/>
      <c r="D87" s="12" t="s">
        <v>180</v>
      </c>
      <c r="E87" s="34" t="s">
        <v>304</v>
      </c>
      <c r="F87" s="13" t="s">
        <v>188</v>
      </c>
      <c r="G87" s="13" t="s">
        <v>173</v>
      </c>
      <c r="H87" s="13" t="s">
        <v>431</v>
      </c>
      <c r="I87" s="13" t="s">
        <v>431</v>
      </c>
    </row>
    <row r="88" spans="1:9" x14ac:dyDescent="0.3">
      <c r="A88" s="236"/>
      <c r="B88" s="144"/>
      <c r="C88" s="234"/>
      <c r="D88" s="12" t="s">
        <v>305</v>
      </c>
      <c r="E88" s="34" t="s">
        <v>306</v>
      </c>
      <c r="F88" s="13" t="s">
        <v>188</v>
      </c>
      <c r="G88" s="13" t="s">
        <v>173</v>
      </c>
      <c r="H88" s="13" t="s">
        <v>431</v>
      </c>
      <c r="I88" s="13" t="s">
        <v>431</v>
      </c>
    </row>
    <row r="89" spans="1:9" x14ac:dyDescent="0.3">
      <c r="A89" s="236"/>
      <c r="B89" s="144"/>
      <c r="C89" s="234"/>
      <c r="D89" s="12" t="s">
        <v>307</v>
      </c>
      <c r="E89" s="34" t="s">
        <v>308</v>
      </c>
      <c r="F89" s="13" t="s">
        <v>188</v>
      </c>
      <c r="G89" s="13" t="s">
        <v>173</v>
      </c>
      <c r="H89" s="13" t="s">
        <v>431</v>
      </c>
      <c r="I89" s="13" t="s">
        <v>431</v>
      </c>
    </row>
    <row r="90" spans="1:9" x14ac:dyDescent="0.3">
      <c r="A90" s="236"/>
      <c r="B90" s="144"/>
      <c r="C90" s="234"/>
      <c r="D90" s="12" t="s">
        <v>309</v>
      </c>
      <c r="E90" s="34" t="s">
        <v>310</v>
      </c>
      <c r="F90" s="13" t="s">
        <v>188</v>
      </c>
      <c r="G90" s="13" t="s">
        <v>173</v>
      </c>
      <c r="H90" s="13" t="s">
        <v>431</v>
      </c>
      <c r="I90" s="13" t="s">
        <v>431</v>
      </c>
    </row>
    <row r="91" spans="1:9" x14ac:dyDescent="0.3">
      <c r="A91" s="236"/>
      <c r="B91" s="144"/>
      <c r="C91" s="234"/>
      <c r="D91" s="12" t="s">
        <v>311</v>
      </c>
      <c r="E91" s="34" t="s">
        <v>312</v>
      </c>
      <c r="F91" s="13" t="s">
        <v>188</v>
      </c>
      <c r="G91" s="13" t="s">
        <v>173</v>
      </c>
      <c r="H91" s="13" t="s">
        <v>431</v>
      </c>
      <c r="I91" s="13" t="s">
        <v>431</v>
      </c>
    </row>
    <row r="92" spans="1:9" x14ac:dyDescent="0.3">
      <c r="A92" s="236"/>
      <c r="B92" s="144"/>
      <c r="C92" s="234"/>
      <c r="D92" s="12" t="s">
        <v>313</v>
      </c>
      <c r="E92" s="34" t="s">
        <v>314</v>
      </c>
      <c r="F92" s="13" t="s">
        <v>188</v>
      </c>
      <c r="G92" s="13" t="s">
        <v>173</v>
      </c>
      <c r="H92" s="13" t="s">
        <v>431</v>
      </c>
      <c r="I92" s="13" t="s">
        <v>431</v>
      </c>
    </row>
    <row r="93" spans="1:9" x14ac:dyDescent="0.3">
      <c r="A93" s="236"/>
      <c r="B93" s="145"/>
      <c r="C93" s="235"/>
      <c r="D93" s="12" t="s">
        <v>315</v>
      </c>
      <c r="E93" s="34" t="s">
        <v>316</v>
      </c>
      <c r="F93" s="13" t="s">
        <v>188</v>
      </c>
      <c r="G93" s="13" t="s">
        <v>173</v>
      </c>
      <c r="H93" s="13" t="s">
        <v>431</v>
      </c>
      <c r="I93" s="13" t="s">
        <v>431</v>
      </c>
    </row>
    <row r="94" spans="1:9" x14ac:dyDescent="0.3">
      <c r="A94" s="42"/>
      <c r="B94" s="42"/>
      <c r="C94" s="42"/>
      <c r="D94" s="42"/>
      <c r="E94" s="42"/>
      <c r="F94" s="42"/>
      <c r="G94" s="42"/>
      <c r="H94" s="42"/>
      <c r="I94" s="42"/>
    </row>
    <row r="95" spans="1:9" x14ac:dyDescent="0.3">
      <c r="A95" s="237" t="s">
        <v>317</v>
      </c>
      <c r="B95" s="238"/>
      <c r="C95" s="238"/>
      <c r="D95" s="238"/>
      <c r="E95" s="238"/>
      <c r="F95" s="238"/>
      <c r="G95" s="238"/>
      <c r="H95" s="238"/>
      <c r="I95" s="239"/>
    </row>
    <row r="96" spans="1:9" x14ac:dyDescent="0.3">
      <c r="A96" s="240" t="s">
        <v>158</v>
      </c>
      <c r="B96" s="241"/>
      <c r="C96" s="244" t="s">
        <v>160</v>
      </c>
      <c r="D96" s="246" t="s">
        <v>161</v>
      </c>
      <c r="E96" s="248" t="s">
        <v>160</v>
      </c>
      <c r="F96" s="250" t="s">
        <v>162</v>
      </c>
      <c r="G96" s="250" t="s">
        <v>65</v>
      </c>
      <c r="H96" s="252" t="s">
        <v>318</v>
      </c>
      <c r="I96" s="253"/>
    </row>
    <row r="97" spans="1:9" x14ac:dyDescent="0.3">
      <c r="A97" s="242"/>
      <c r="B97" s="243"/>
      <c r="C97" s="245"/>
      <c r="D97" s="247"/>
      <c r="E97" s="249"/>
      <c r="F97" s="251"/>
      <c r="G97" s="251"/>
      <c r="H97" s="254"/>
      <c r="I97" s="255"/>
    </row>
    <row r="98" spans="1:9" ht="24" customHeight="1" x14ac:dyDescent="0.3">
      <c r="A98" s="231" t="s">
        <v>319</v>
      </c>
      <c r="B98" s="232"/>
      <c r="C98" s="37" t="s">
        <v>320</v>
      </c>
      <c r="D98" s="12" t="s">
        <v>184</v>
      </c>
      <c r="E98" s="34" t="s">
        <v>184</v>
      </c>
      <c r="F98" s="13" t="s">
        <v>167</v>
      </c>
      <c r="G98" s="13" t="s">
        <v>321</v>
      </c>
      <c r="H98" s="229" t="s">
        <v>431</v>
      </c>
      <c r="I98" s="230"/>
    </row>
    <row r="99" spans="1:9" x14ac:dyDescent="0.3">
      <c r="A99" s="217" t="s">
        <v>322</v>
      </c>
      <c r="B99" s="219"/>
      <c r="C99" s="233" t="s">
        <v>323</v>
      </c>
      <c r="D99" s="12" t="s">
        <v>166</v>
      </c>
      <c r="E99" s="34" t="s">
        <v>323</v>
      </c>
      <c r="F99" s="13" t="s">
        <v>167</v>
      </c>
      <c r="G99" s="13" t="s">
        <v>173</v>
      </c>
      <c r="H99" s="229" t="s">
        <v>431</v>
      </c>
      <c r="I99" s="230"/>
    </row>
    <row r="100" spans="1:9" x14ac:dyDescent="0.3">
      <c r="A100" s="220"/>
      <c r="B100" s="222"/>
      <c r="C100" s="234"/>
      <c r="D100" s="12" t="s">
        <v>324</v>
      </c>
      <c r="E100" s="34" t="s">
        <v>325</v>
      </c>
      <c r="F100" s="13" t="s">
        <v>167</v>
      </c>
      <c r="G100" s="13" t="s">
        <v>168</v>
      </c>
      <c r="H100" s="229" t="s">
        <v>431</v>
      </c>
      <c r="I100" s="230"/>
    </row>
    <row r="101" spans="1:9" x14ac:dyDescent="0.3">
      <c r="A101" s="220"/>
      <c r="B101" s="222"/>
      <c r="C101" s="234"/>
      <c r="D101" s="12" t="s">
        <v>326</v>
      </c>
      <c r="E101" s="34" t="s">
        <v>327</v>
      </c>
      <c r="F101" s="13" t="s">
        <v>167</v>
      </c>
      <c r="G101" s="13" t="s">
        <v>168</v>
      </c>
      <c r="H101" s="229" t="s">
        <v>431</v>
      </c>
      <c r="I101" s="230"/>
    </row>
    <row r="102" spans="1:9" ht="36" x14ac:dyDescent="0.3">
      <c r="A102" s="220"/>
      <c r="B102" s="222"/>
      <c r="C102" s="234"/>
      <c r="D102" s="12" t="s">
        <v>328</v>
      </c>
      <c r="E102" s="34" t="s">
        <v>329</v>
      </c>
      <c r="F102" s="13" t="s">
        <v>167</v>
      </c>
      <c r="G102" s="13" t="s">
        <v>168</v>
      </c>
      <c r="H102" s="229" t="s">
        <v>431</v>
      </c>
      <c r="I102" s="230"/>
    </row>
    <row r="103" spans="1:9" ht="36" x14ac:dyDescent="0.3">
      <c r="A103" s="223"/>
      <c r="B103" s="225"/>
      <c r="C103" s="235"/>
      <c r="D103" s="12" t="s">
        <v>330</v>
      </c>
      <c r="E103" s="34" t="s">
        <v>331</v>
      </c>
      <c r="F103" s="13" t="s">
        <v>188</v>
      </c>
      <c r="G103" s="13" t="s">
        <v>173</v>
      </c>
      <c r="H103" s="229" t="s">
        <v>431</v>
      </c>
      <c r="I103" s="230"/>
    </row>
    <row r="104" spans="1:9" ht="22.2" customHeight="1" x14ac:dyDescent="0.3">
      <c r="A104" s="231" t="s">
        <v>332</v>
      </c>
      <c r="B104" s="232"/>
      <c r="C104" s="37" t="s">
        <v>333</v>
      </c>
      <c r="D104" s="12" t="s">
        <v>184</v>
      </c>
      <c r="E104" s="34" t="s">
        <v>184</v>
      </c>
      <c r="F104" s="13" t="s">
        <v>167</v>
      </c>
      <c r="G104" s="13" t="s">
        <v>173</v>
      </c>
      <c r="H104" s="229" t="s">
        <v>431</v>
      </c>
      <c r="I104" s="230"/>
    </row>
    <row r="105" spans="1:9" ht="40.200000000000003" customHeight="1" x14ac:dyDescent="0.3">
      <c r="A105" s="231" t="s">
        <v>334</v>
      </c>
      <c r="B105" s="232"/>
      <c r="C105" s="37" t="s">
        <v>335</v>
      </c>
      <c r="D105" s="12" t="s">
        <v>184</v>
      </c>
      <c r="E105" s="34" t="s">
        <v>184</v>
      </c>
      <c r="F105" s="13" t="s">
        <v>167</v>
      </c>
      <c r="G105" s="13" t="s">
        <v>168</v>
      </c>
      <c r="H105" s="229" t="s">
        <v>431</v>
      </c>
      <c r="I105" s="230"/>
    </row>
    <row r="106" spans="1:9" x14ac:dyDescent="0.3">
      <c r="A106" s="231" t="s">
        <v>336</v>
      </c>
      <c r="B106" s="232"/>
      <c r="C106" s="37" t="s">
        <v>337</v>
      </c>
      <c r="D106" s="12" t="s">
        <v>184</v>
      </c>
      <c r="E106" s="34" t="s">
        <v>184</v>
      </c>
      <c r="F106" s="13" t="s">
        <v>188</v>
      </c>
      <c r="G106" s="13" t="s">
        <v>173</v>
      </c>
      <c r="H106" s="229" t="s">
        <v>431</v>
      </c>
      <c r="I106" s="230"/>
    </row>
    <row r="107" spans="1:9" x14ac:dyDescent="0.3">
      <c r="A107" s="42"/>
      <c r="B107" s="42"/>
      <c r="C107" s="42"/>
      <c r="D107" s="42"/>
      <c r="E107" s="42"/>
      <c r="F107" s="42"/>
      <c r="G107" s="42"/>
      <c r="H107" s="42"/>
      <c r="I107" s="42"/>
    </row>
    <row r="108" spans="1:9" x14ac:dyDescent="0.3">
      <c r="A108" s="217" t="s">
        <v>338</v>
      </c>
      <c r="B108" s="218"/>
      <c r="C108" s="219"/>
      <c r="D108" s="226" t="s">
        <v>166</v>
      </c>
      <c r="E108" s="227"/>
      <c r="F108" s="228"/>
      <c r="G108" s="13" t="s">
        <v>173</v>
      </c>
      <c r="H108" s="229">
        <f>199+27</f>
        <v>226</v>
      </c>
      <c r="I108" s="230"/>
    </row>
    <row r="109" spans="1:9" x14ac:dyDescent="0.3">
      <c r="A109" s="220"/>
      <c r="B109" s="221"/>
      <c r="C109" s="222"/>
      <c r="D109" s="226" t="s">
        <v>339</v>
      </c>
      <c r="E109" s="227" t="s">
        <v>184</v>
      </c>
      <c r="F109" s="228" t="s">
        <v>184</v>
      </c>
      <c r="G109" s="13" t="s">
        <v>173</v>
      </c>
      <c r="H109" s="229">
        <f>171+24</f>
        <v>195</v>
      </c>
      <c r="I109" s="230"/>
    </row>
    <row r="110" spans="1:9" x14ac:dyDescent="0.3">
      <c r="A110" s="223"/>
      <c r="B110" s="224"/>
      <c r="C110" s="225"/>
      <c r="D110" s="226" t="s">
        <v>340</v>
      </c>
      <c r="E110" s="227" t="s">
        <v>184</v>
      </c>
      <c r="F110" s="228" t="s">
        <v>184</v>
      </c>
      <c r="G110" s="13" t="s">
        <v>173</v>
      </c>
      <c r="H110" s="229">
        <f>163+21</f>
        <v>184</v>
      </c>
      <c r="I110" s="230"/>
    </row>
    <row r="111" spans="1:9" x14ac:dyDescent="0.3">
      <c r="A111" s="42"/>
      <c r="B111" s="42"/>
      <c r="C111" s="42"/>
      <c r="D111" s="42"/>
      <c r="E111" s="42"/>
      <c r="F111" s="42"/>
      <c r="G111" s="42"/>
      <c r="H111" s="42"/>
      <c r="I111" s="42"/>
    </row>
    <row r="112" spans="1:9" x14ac:dyDescent="0.3">
      <c r="A112" s="44"/>
      <c r="B112" s="44"/>
      <c r="C112" s="44"/>
      <c r="D112" s="42"/>
      <c r="E112" s="42"/>
      <c r="F112" s="42"/>
      <c r="G112" s="42"/>
      <c r="H112" s="42"/>
      <c r="I112" s="42"/>
    </row>
    <row r="113" spans="1:9" ht="93.6" customHeight="1" x14ac:dyDescent="0.3">
      <c r="A113" s="213" t="s">
        <v>341</v>
      </c>
      <c r="B113" s="213"/>
      <c r="C113" s="213"/>
      <c r="D113" s="213"/>
      <c r="E113" s="213"/>
      <c r="F113" s="213"/>
      <c r="G113" s="213"/>
      <c r="H113" s="213"/>
      <c r="I113" s="213"/>
    </row>
    <row r="114" spans="1:9" ht="36" customHeight="1" x14ac:dyDescent="0.3">
      <c r="A114" s="214" t="s">
        <v>342</v>
      </c>
      <c r="B114" s="215"/>
      <c r="C114" s="215"/>
      <c r="D114" s="215"/>
      <c r="E114" s="215"/>
      <c r="F114" s="215"/>
      <c r="G114" s="215"/>
      <c r="H114" s="215"/>
      <c r="I114" s="216"/>
    </row>
  </sheetData>
  <mergeCells count="95">
    <mergeCell ref="C1:I1"/>
    <mergeCell ref="A3:I3"/>
    <mergeCell ref="A4:A5"/>
    <mergeCell ref="B4:B5"/>
    <mergeCell ref="C4:C5"/>
    <mergeCell ref="D4:D5"/>
    <mergeCell ref="E4:E5"/>
    <mergeCell ref="F4:F5"/>
    <mergeCell ref="G4:G5"/>
    <mergeCell ref="H4:I4"/>
    <mergeCell ref="A31:A33"/>
    <mergeCell ref="B31:B33"/>
    <mergeCell ref="C31:C33"/>
    <mergeCell ref="A6:A12"/>
    <mergeCell ref="B6:B12"/>
    <mergeCell ref="C6:C12"/>
    <mergeCell ref="A14:A20"/>
    <mergeCell ref="B14:B20"/>
    <mergeCell ref="C14:C20"/>
    <mergeCell ref="A21:A23"/>
    <mergeCell ref="B21:B23"/>
    <mergeCell ref="C21:C23"/>
    <mergeCell ref="A38:I38"/>
    <mergeCell ref="A39:I39"/>
    <mergeCell ref="A40:I40"/>
    <mergeCell ref="A41:A42"/>
    <mergeCell ref="B41:B42"/>
    <mergeCell ref="C41:C42"/>
    <mergeCell ref="D41:D42"/>
    <mergeCell ref="E41:E42"/>
    <mergeCell ref="F41:F42"/>
    <mergeCell ref="G41:G42"/>
    <mergeCell ref="H41:I41"/>
    <mergeCell ref="A46:A49"/>
    <mergeCell ref="B46:B49"/>
    <mergeCell ref="C46:C49"/>
    <mergeCell ref="A50:A53"/>
    <mergeCell ref="B50:B53"/>
    <mergeCell ref="C50:C53"/>
    <mergeCell ref="A56:A58"/>
    <mergeCell ref="B56:B58"/>
    <mergeCell ref="C56:C58"/>
    <mergeCell ref="A65:I65"/>
    <mergeCell ref="F66:F67"/>
    <mergeCell ref="G66:G67"/>
    <mergeCell ref="H66:I66"/>
    <mergeCell ref="D66:D67"/>
    <mergeCell ref="E66:E67"/>
    <mergeCell ref="A68:A70"/>
    <mergeCell ref="B68:B70"/>
    <mergeCell ref="C68:C70"/>
    <mergeCell ref="A66:A67"/>
    <mergeCell ref="B66:B67"/>
    <mergeCell ref="C66:C67"/>
    <mergeCell ref="A71:A73"/>
    <mergeCell ref="B71:B73"/>
    <mergeCell ref="C71:C73"/>
    <mergeCell ref="A74:A79"/>
    <mergeCell ref="B74:B79"/>
    <mergeCell ref="C74:C79"/>
    <mergeCell ref="A80:A93"/>
    <mergeCell ref="B80:B93"/>
    <mergeCell ref="C80:C93"/>
    <mergeCell ref="A95:I95"/>
    <mergeCell ref="A96:B97"/>
    <mergeCell ref="C96:C97"/>
    <mergeCell ref="D96:D97"/>
    <mergeCell ref="E96:E97"/>
    <mergeCell ref="F96:F97"/>
    <mergeCell ref="G96:G97"/>
    <mergeCell ref="H96:I97"/>
    <mergeCell ref="A98:B98"/>
    <mergeCell ref="H98:I98"/>
    <mergeCell ref="A99:B103"/>
    <mergeCell ref="C99:C103"/>
    <mergeCell ref="H99:I99"/>
    <mergeCell ref="H100:I100"/>
    <mergeCell ref="H101:I101"/>
    <mergeCell ref="H102:I102"/>
    <mergeCell ref="H103:I103"/>
    <mergeCell ref="A104:B104"/>
    <mergeCell ref="H104:I104"/>
    <mergeCell ref="A105:B105"/>
    <mergeCell ref="H105:I105"/>
    <mergeCell ref="A106:B106"/>
    <mergeCell ref="H106:I106"/>
    <mergeCell ref="A113:I113"/>
    <mergeCell ref="A114:I114"/>
    <mergeCell ref="A108:C110"/>
    <mergeCell ref="D108:F108"/>
    <mergeCell ref="H108:I108"/>
    <mergeCell ref="D109:F109"/>
    <mergeCell ref="H109:I109"/>
    <mergeCell ref="D110:F110"/>
    <mergeCell ref="H110:I110"/>
  </mergeCells>
  <pageMargins left="0.7" right="0.7"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election activeCell="C16" sqref="C16"/>
    </sheetView>
  </sheetViews>
  <sheetFormatPr defaultRowHeight="14.4" x14ac:dyDescent="0.3"/>
  <cols>
    <col min="1" max="1" width="36.5546875" customWidth="1"/>
    <col min="2" max="2" width="18.21875" customWidth="1"/>
    <col min="3" max="3" width="28.44140625" customWidth="1"/>
  </cols>
  <sheetData>
    <row r="1" spans="1:3" x14ac:dyDescent="0.3">
      <c r="A1" s="4" t="s">
        <v>343</v>
      </c>
      <c r="B1" s="204" t="s">
        <v>344</v>
      </c>
      <c r="C1" s="204"/>
    </row>
    <row r="2" spans="1:3" x14ac:dyDescent="0.3">
      <c r="A2" s="45"/>
      <c r="B2" s="46"/>
      <c r="C2" s="47"/>
    </row>
    <row r="3" spans="1:3" x14ac:dyDescent="0.3">
      <c r="A3" s="275" t="s">
        <v>345</v>
      </c>
      <c r="B3" s="277" t="s">
        <v>346</v>
      </c>
      <c r="C3" s="277" t="s">
        <v>347</v>
      </c>
    </row>
    <row r="4" spans="1:3" x14ac:dyDescent="0.3">
      <c r="A4" s="276"/>
      <c r="B4" s="277"/>
      <c r="C4" s="277"/>
    </row>
    <row r="5" spans="1:3" x14ac:dyDescent="0.3">
      <c r="A5" s="48" t="s">
        <v>348</v>
      </c>
      <c r="B5" s="77">
        <v>0</v>
      </c>
      <c r="C5" s="112">
        <v>39</v>
      </c>
    </row>
    <row r="6" spans="1:3" x14ac:dyDescent="0.3">
      <c r="A6" s="48" t="s">
        <v>349</v>
      </c>
      <c r="B6" s="77">
        <v>0</v>
      </c>
      <c r="C6" s="112">
        <v>4</v>
      </c>
    </row>
    <row r="7" spans="1:3" x14ac:dyDescent="0.3">
      <c r="A7" s="48" t="s">
        <v>350</v>
      </c>
      <c r="B7" s="77">
        <v>0</v>
      </c>
      <c r="C7" s="77">
        <v>0</v>
      </c>
    </row>
  </sheetData>
  <mergeCells count="4">
    <mergeCell ref="B1:C1"/>
    <mergeCell ref="A3:A4"/>
    <mergeCell ref="B3:B4"/>
    <mergeCell ref="C3:C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8"/>
  <sheetViews>
    <sheetView topLeftCell="A62" workbookViewId="0">
      <selection activeCell="I62" sqref="I62:S62"/>
    </sheetView>
  </sheetViews>
  <sheetFormatPr defaultRowHeight="14.4" x14ac:dyDescent="0.3"/>
  <cols>
    <col min="1" max="1" width="6.21875" customWidth="1"/>
    <col min="8" max="8" width="4.88671875" customWidth="1"/>
    <col min="19" max="19" width="12.77734375" customWidth="1"/>
  </cols>
  <sheetData>
    <row r="1" spans="1:19" x14ac:dyDescent="0.3">
      <c r="A1" s="4" t="s">
        <v>351</v>
      </c>
      <c r="B1" s="52" t="s">
        <v>352</v>
      </c>
      <c r="C1" s="53"/>
      <c r="D1" s="53"/>
      <c r="E1" s="53"/>
      <c r="F1" s="53"/>
      <c r="G1" s="53"/>
      <c r="H1" s="53"/>
      <c r="I1" s="53"/>
      <c r="J1" s="53"/>
      <c r="K1" s="53"/>
      <c r="L1" s="53"/>
      <c r="M1" s="53"/>
      <c r="N1" s="53"/>
      <c r="O1" s="53"/>
      <c r="P1" s="49"/>
      <c r="Q1" s="49"/>
      <c r="R1" s="49"/>
      <c r="S1" s="50"/>
    </row>
    <row r="2" spans="1:19" x14ac:dyDescent="0.3">
      <c r="A2" s="54"/>
      <c r="B2" s="55"/>
      <c r="C2" s="56"/>
      <c r="D2" s="56"/>
      <c r="E2" s="56"/>
      <c r="F2" s="56"/>
      <c r="G2" s="56"/>
      <c r="H2" s="56"/>
      <c r="I2" s="56"/>
      <c r="J2" s="56"/>
      <c r="K2" s="56"/>
      <c r="L2" s="56"/>
      <c r="M2" s="56"/>
      <c r="N2" s="56"/>
      <c r="O2" s="56"/>
      <c r="P2" s="51"/>
      <c r="Q2" s="51"/>
      <c r="R2" s="51"/>
      <c r="S2" s="51"/>
    </row>
    <row r="3" spans="1:19" x14ac:dyDescent="0.3">
      <c r="A3" s="54" t="s">
        <v>353</v>
      </c>
      <c r="B3" s="55"/>
      <c r="C3" s="56"/>
      <c r="D3" s="56"/>
      <c r="E3" s="56"/>
      <c r="F3" s="279">
        <v>44956</v>
      </c>
      <c r="G3" s="280"/>
      <c r="H3" s="56"/>
      <c r="I3" s="56"/>
      <c r="J3" s="54" t="s">
        <v>354</v>
      </c>
      <c r="K3" s="56"/>
      <c r="L3" s="56"/>
      <c r="M3" s="56"/>
      <c r="N3" s="56"/>
      <c r="O3" s="56"/>
      <c r="P3" s="51"/>
      <c r="Q3" s="51"/>
      <c r="R3" s="51"/>
      <c r="S3" s="51"/>
    </row>
    <row r="4" spans="1:19" x14ac:dyDescent="0.3">
      <c r="A4" s="54"/>
      <c r="B4" s="55"/>
      <c r="C4" s="56"/>
      <c r="D4" s="56"/>
      <c r="E4" s="56"/>
      <c r="F4" s="56"/>
      <c r="G4" s="56"/>
      <c r="H4" s="56"/>
      <c r="I4" s="56"/>
      <c r="J4" s="278" t="s">
        <v>355</v>
      </c>
      <c r="K4" s="278"/>
      <c r="L4" s="278"/>
      <c r="M4" s="278"/>
      <c r="N4" s="278"/>
      <c r="O4" s="58"/>
      <c r="Q4" s="51"/>
      <c r="R4" s="51"/>
      <c r="S4" s="51"/>
    </row>
    <row r="5" spans="1:19" x14ac:dyDescent="0.3">
      <c r="A5" s="57"/>
      <c r="B5" s="57"/>
      <c r="C5" s="57"/>
      <c r="D5" s="57"/>
      <c r="E5" s="57"/>
      <c r="F5" s="57"/>
      <c r="G5" s="57"/>
      <c r="H5" s="57"/>
      <c r="I5" s="56"/>
      <c r="J5" s="278" t="s">
        <v>356</v>
      </c>
      <c r="K5" s="278"/>
      <c r="L5" s="278"/>
      <c r="M5" s="278"/>
      <c r="N5" s="278"/>
      <c r="O5" s="58" t="s">
        <v>9</v>
      </c>
      <c r="Q5" s="51"/>
      <c r="R5" s="51"/>
      <c r="S5" s="51"/>
    </row>
    <row r="6" spans="1:19" x14ac:dyDescent="0.3">
      <c r="A6" s="54"/>
      <c r="B6" s="57"/>
      <c r="C6" s="57"/>
      <c r="D6" s="57"/>
      <c r="E6" s="57"/>
      <c r="F6" s="57"/>
      <c r="G6" s="57"/>
      <c r="H6" s="57"/>
      <c r="I6" s="56"/>
      <c r="J6" s="278" t="s">
        <v>357</v>
      </c>
      <c r="K6" s="278"/>
      <c r="L6" s="278"/>
      <c r="M6" s="278"/>
      <c r="N6" s="278"/>
      <c r="O6" s="58" t="s">
        <v>9</v>
      </c>
      <c r="Q6" s="51"/>
      <c r="R6" s="51"/>
      <c r="S6" s="51"/>
    </row>
    <row r="7" spans="1:19" x14ac:dyDescent="0.3">
      <c r="A7" s="54"/>
      <c r="B7" s="57"/>
      <c r="C7" s="57"/>
      <c r="D7" s="57"/>
      <c r="E7" s="57"/>
      <c r="F7" s="57"/>
      <c r="G7" s="57"/>
      <c r="H7" s="57"/>
      <c r="I7" s="56"/>
      <c r="J7" s="278" t="s">
        <v>358</v>
      </c>
      <c r="K7" s="278"/>
      <c r="L7" s="278"/>
      <c r="M7" s="278"/>
      <c r="N7" s="278"/>
      <c r="O7" s="58"/>
      <c r="Q7" s="51"/>
      <c r="R7" s="51"/>
      <c r="S7" s="51"/>
    </row>
    <row r="8" spans="1:19" x14ac:dyDescent="0.3">
      <c r="A8" s="54"/>
      <c r="B8" s="57"/>
      <c r="C8" s="57"/>
      <c r="D8" s="57"/>
      <c r="E8" s="57"/>
      <c r="F8" s="57"/>
      <c r="G8" s="57"/>
      <c r="H8" s="57"/>
      <c r="I8" s="56"/>
      <c r="J8" s="278" t="s">
        <v>359</v>
      </c>
      <c r="K8" s="278"/>
      <c r="L8" s="278"/>
      <c r="M8" s="278"/>
      <c r="N8" s="278"/>
      <c r="O8" s="58" t="s">
        <v>9</v>
      </c>
      <c r="Q8" s="51"/>
      <c r="R8" s="51"/>
      <c r="S8" s="51"/>
    </row>
    <row r="9" spans="1:19" x14ac:dyDescent="0.3">
      <c r="A9" s="54"/>
      <c r="B9" s="57"/>
      <c r="C9" s="57"/>
      <c r="D9" s="57"/>
      <c r="E9" s="57"/>
      <c r="F9" s="57"/>
      <c r="G9" s="57"/>
      <c r="H9" s="57"/>
      <c r="I9" s="56"/>
      <c r="J9" s="278" t="s">
        <v>360</v>
      </c>
      <c r="K9" s="278"/>
      <c r="L9" s="278"/>
      <c r="M9" s="278"/>
      <c r="N9" s="278"/>
      <c r="O9" s="58"/>
      <c r="Q9" s="51"/>
      <c r="R9" s="51"/>
      <c r="S9" s="51"/>
    </row>
    <row r="10" spans="1:19" x14ac:dyDescent="0.3">
      <c r="A10" s="54"/>
      <c r="B10" s="57"/>
      <c r="C10" s="57"/>
      <c r="D10" s="57"/>
      <c r="E10" s="57"/>
      <c r="F10" s="57"/>
      <c r="G10" s="57"/>
      <c r="H10" s="57"/>
      <c r="I10" s="56"/>
      <c r="J10" s="278" t="s">
        <v>361</v>
      </c>
      <c r="K10" s="278"/>
      <c r="L10" s="278"/>
      <c r="M10" s="278"/>
      <c r="N10" s="278"/>
      <c r="O10" s="58"/>
      <c r="Q10" s="51"/>
      <c r="R10" s="51"/>
      <c r="S10" s="51"/>
    </row>
    <row r="11" spans="1:19" x14ac:dyDescent="0.3">
      <c r="A11" s="54"/>
      <c r="B11" s="57"/>
      <c r="C11" s="57"/>
      <c r="D11" s="57"/>
      <c r="E11" s="57"/>
      <c r="F11" s="57"/>
      <c r="G11" s="57"/>
      <c r="H11" s="57"/>
      <c r="I11" s="56"/>
      <c r="J11" s="278" t="s">
        <v>362</v>
      </c>
      <c r="K11" s="278"/>
      <c r="L11" s="278"/>
      <c r="M11" s="278"/>
      <c r="N11" s="278"/>
      <c r="O11" s="58"/>
      <c r="Q11" s="51"/>
      <c r="R11" s="51"/>
      <c r="S11" s="51"/>
    </row>
    <row r="12" spans="1:19" x14ac:dyDescent="0.3">
      <c r="A12" s="54"/>
      <c r="B12" s="57"/>
      <c r="C12" s="57"/>
      <c r="D12" s="57"/>
      <c r="E12" s="57"/>
      <c r="F12" s="57"/>
      <c r="G12" s="57"/>
      <c r="H12" s="57"/>
      <c r="I12" s="56"/>
      <c r="J12" s="278" t="s">
        <v>363</v>
      </c>
      <c r="K12" s="278"/>
      <c r="L12" s="278"/>
      <c r="M12" s="278"/>
      <c r="N12" s="278"/>
      <c r="O12" s="58"/>
      <c r="Q12" s="51"/>
      <c r="R12" s="51"/>
      <c r="S12" s="51"/>
    </row>
    <row r="15" spans="1:19" ht="159.6" customHeight="1" x14ac:dyDescent="0.3">
      <c r="A15" s="81" t="s">
        <v>452</v>
      </c>
      <c r="B15" s="281" t="s">
        <v>374</v>
      </c>
      <c r="C15" s="281"/>
      <c r="D15" s="281"/>
      <c r="E15" s="281"/>
      <c r="F15" s="281"/>
      <c r="G15" s="281"/>
      <c r="H15" s="281"/>
      <c r="I15" s="282" t="s">
        <v>449</v>
      </c>
      <c r="J15" s="282"/>
      <c r="K15" s="282"/>
      <c r="L15" s="282"/>
      <c r="M15" s="282"/>
      <c r="N15" s="282"/>
      <c r="O15" s="282"/>
      <c r="P15" s="282"/>
      <c r="Q15" s="282"/>
      <c r="R15" s="282"/>
      <c r="S15" s="282"/>
    </row>
    <row r="16" spans="1:19" x14ac:dyDescent="0.3">
      <c r="A16" s="78"/>
      <c r="B16" s="78"/>
      <c r="C16" s="78"/>
      <c r="D16" s="78"/>
      <c r="E16" s="78"/>
      <c r="F16" s="78"/>
      <c r="G16" s="78"/>
      <c r="H16" s="78"/>
      <c r="I16" s="78"/>
      <c r="J16" s="78"/>
      <c r="K16" s="78"/>
      <c r="L16" s="78"/>
      <c r="M16" s="78"/>
      <c r="N16" s="78"/>
      <c r="O16" s="78"/>
      <c r="P16" s="78"/>
      <c r="Q16" s="78"/>
      <c r="R16" s="78"/>
      <c r="S16" s="78"/>
    </row>
    <row r="17" spans="1:20" x14ac:dyDescent="0.3">
      <c r="A17" s="78"/>
      <c r="B17" s="78" t="s">
        <v>375</v>
      </c>
      <c r="C17" s="78"/>
      <c r="D17" s="78"/>
      <c r="E17" s="78"/>
      <c r="F17" s="78"/>
      <c r="G17" s="78"/>
      <c r="H17" s="78"/>
      <c r="I17" s="78"/>
      <c r="J17" s="78"/>
      <c r="K17" s="78"/>
      <c r="L17" s="78"/>
      <c r="M17" s="78"/>
      <c r="N17" s="78"/>
      <c r="O17" s="78"/>
      <c r="P17" s="78"/>
      <c r="Q17" s="78"/>
      <c r="R17" s="78"/>
      <c r="S17" s="78"/>
    </row>
    <row r="18" spans="1:20" ht="49.8" customHeight="1" x14ac:dyDescent="0.3">
      <c r="A18" s="82" t="s">
        <v>376</v>
      </c>
      <c r="B18" s="284" t="s">
        <v>377</v>
      </c>
      <c r="C18" s="284"/>
      <c r="D18" s="284"/>
      <c r="E18" s="284"/>
      <c r="F18" s="284"/>
      <c r="G18" s="284"/>
      <c r="H18" s="284"/>
      <c r="I18" s="285" t="s">
        <v>382</v>
      </c>
      <c r="J18" s="285"/>
      <c r="K18" s="285"/>
      <c r="L18" s="285"/>
      <c r="M18" s="285"/>
      <c r="N18" s="285"/>
      <c r="O18" s="285"/>
      <c r="P18" s="285"/>
      <c r="Q18" s="285"/>
      <c r="R18" s="285"/>
      <c r="S18" s="285"/>
    </row>
    <row r="19" spans="1:20" x14ac:dyDescent="0.3">
      <c r="A19" s="79"/>
      <c r="B19" s="80"/>
      <c r="C19" s="80"/>
      <c r="D19" s="80"/>
      <c r="E19" s="80"/>
      <c r="F19" s="80"/>
      <c r="G19" s="80"/>
      <c r="H19" s="80"/>
      <c r="I19" s="80"/>
      <c r="J19" s="78"/>
      <c r="K19" s="78"/>
      <c r="L19" s="78"/>
      <c r="M19" s="78"/>
      <c r="N19" s="78"/>
      <c r="O19" s="78"/>
      <c r="P19" s="78"/>
      <c r="Q19" s="78"/>
      <c r="R19" s="78"/>
      <c r="S19" s="78"/>
    </row>
    <row r="20" spans="1:20" ht="175.8" customHeight="1" x14ac:dyDescent="0.3">
      <c r="A20" s="82" t="s">
        <v>378</v>
      </c>
      <c r="B20" s="283" t="s">
        <v>379</v>
      </c>
      <c r="C20" s="283"/>
      <c r="D20" s="283"/>
      <c r="E20" s="283"/>
      <c r="F20" s="283"/>
      <c r="G20" s="283"/>
      <c r="H20" s="283"/>
      <c r="I20" s="286" t="s">
        <v>436</v>
      </c>
      <c r="J20" s="287"/>
      <c r="K20" s="287"/>
      <c r="L20" s="287"/>
      <c r="M20" s="287"/>
      <c r="N20" s="287"/>
      <c r="O20" s="287"/>
      <c r="P20" s="287"/>
      <c r="Q20" s="287"/>
      <c r="R20" s="287"/>
      <c r="S20" s="287"/>
    </row>
    <row r="21" spans="1:20" x14ac:dyDescent="0.3">
      <c r="A21" s="79"/>
      <c r="B21" s="80"/>
      <c r="C21" s="80"/>
      <c r="D21" s="80"/>
      <c r="E21" s="80"/>
      <c r="F21" s="80"/>
      <c r="G21" s="80"/>
      <c r="H21" s="80"/>
      <c r="I21" s="80"/>
      <c r="J21" s="78"/>
      <c r="K21" s="78"/>
      <c r="L21" s="78"/>
      <c r="M21" s="78"/>
      <c r="N21" s="78"/>
      <c r="O21" s="78"/>
      <c r="P21" s="78"/>
      <c r="Q21" s="78"/>
      <c r="R21" s="78"/>
      <c r="S21" s="78"/>
    </row>
    <row r="22" spans="1:20" ht="76.2" customHeight="1" x14ac:dyDescent="0.3">
      <c r="A22" s="82" t="s">
        <v>380</v>
      </c>
      <c r="B22" s="283" t="s">
        <v>381</v>
      </c>
      <c r="C22" s="283"/>
      <c r="D22" s="283"/>
      <c r="E22" s="283"/>
      <c r="F22" s="283"/>
      <c r="G22" s="283"/>
      <c r="H22" s="283"/>
      <c r="I22" s="286" t="s">
        <v>383</v>
      </c>
      <c r="J22" s="287"/>
      <c r="K22" s="287"/>
      <c r="L22" s="287"/>
      <c r="M22" s="287"/>
      <c r="N22" s="287"/>
      <c r="O22" s="287"/>
      <c r="P22" s="287"/>
      <c r="Q22" s="287"/>
      <c r="R22" s="287"/>
      <c r="S22" s="287"/>
    </row>
    <row r="24" spans="1:20" ht="82.8" customHeight="1" x14ac:dyDescent="0.3">
      <c r="A24" s="83" t="s">
        <v>384</v>
      </c>
      <c r="B24" s="281" t="s">
        <v>385</v>
      </c>
      <c r="C24" s="281"/>
      <c r="D24" s="281"/>
      <c r="E24" s="281"/>
      <c r="F24" s="281"/>
      <c r="G24" s="281"/>
      <c r="H24" s="281"/>
      <c r="I24" s="282" t="s">
        <v>389</v>
      </c>
      <c r="J24" s="282"/>
      <c r="K24" s="282"/>
      <c r="L24" s="282"/>
      <c r="M24" s="282"/>
      <c r="N24" s="282"/>
      <c r="O24" s="282"/>
      <c r="P24" s="282"/>
      <c r="Q24" s="282"/>
      <c r="R24" s="282"/>
      <c r="S24" s="282"/>
      <c r="T24" s="110"/>
    </row>
    <row r="25" spans="1:20" x14ac:dyDescent="0.3">
      <c r="T25" s="110"/>
    </row>
    <row r="26" spans="1:20" x14ac:dyDescent="0.3">
      <c r="A26" s="84"/>
      <c r="B26" s="91" t="s">
        <v>375</v>
      </c>
      <c r="C26" s="84"/>
      <c r="D26" s="84"/>
      <c r="E26" s="84"/>
      <c r="F26" s="84"/>
      <c r="G26" s="84"/>
      <c r="H26" s="84"/>
      <c r="T26" s="110"/>
    </row>
    <row r="27" spans="1:20" ht="169.8" customHeight="1" x14ac:dyDescent="0.3">
      <c r="A27" s="82" t="s">
        <v>376</v>
      </c>
      <c r="B27" s="284" t="s">
        <v>386</v>
      </c>
      <c r="C27" s="284"/>
      <c r="D27" s="284"/>
      <c r="E27" s="284"/>
      <c r="F27" s="284"/>
      <c r="G27" s="284"/>
      <c r="H27" s="284"/>
      <c r="I27" s="285" t="s">
        <v>445</v>
      </c>
      <c r="J27" s="285"/>
      <c r="K27" s="285"/>
      <c r="L27" s="285"/>
      <c r="M27" s="285"/>
      <c r="N27" s="285"/>
      <c r="O27" s="285"/>
      <c r="P27" s="285"/>
      <c r="Q27" s="285"/>
      <c r="R27" s="285"/>
      <c r="S27" s="285"/>
      <c r="T27" s="110"/>
    </row>
    <row r="28" spans="1:20" x14ac:dyDescent="0.3">
      <c r="A28" s="79"/>
      <c r="B28" s="85"/>
      <c r="C28" s="85"/>
      <c r="D28" s="85"/>
      <c r="E28" s="85"/>
      <c r="F28" s="85"/>
      <c r="G28" s="85"/>
      <c r="H28" s="85"/>
      <c r="T28" s="110"/>
    </row>
    <row r="29" spans="1:20" ht="75" customHeight="1" x14ac:dyDescent="0.3">
      <c r="A29" s="82" t="s">
        <v>378</v>
      </c>
      <c r="B29" s="284" t="s">
        <v>387</v>
      </c>
      <c r="C29" s="284"/>
      <c r="D29" s="284"/>
      <c r="E29" s="284"/>
      <c r="F29" s="284"/>
      <c r="G29" s="284"/>
      <c r="H29" s="284"/>
      <c r="I29" s="286" t="s">
        <v>446</v>
      </c>
      <c r="J29" s="286"/>
      <c r="K29" s="286"/>
      <c r="L29" s="286"/>
      <c r="M29" s="286"/>
      <c r="N29" s="286"/>
      <c r="O29" s="286"/>
      <c r="P29" s="286"/>
      <c r="Q29" s="286"/>
      <c r="R29" s="286"/>
      <c r="S29" s="286"/>
      <c r="T29" s="110"/>
    </row>
    <row r="30" spans="1:20" x14ac:dyDescent="0.3">
      <c r="A30" s="79"/>
      <c r="B30" s="85"/>
      <c r="C30" s="85"/>
      <c r="D30" s="85"/>
      <c r="E30" s="85"/>
      <c r="F30" s="85"/>
      <c r="G30" s="85"/>
      <c r="H30" s="85"/>
      <c r="T30" s="110"/>
    </row>
    <row r="31" spans="1:20" ht="90.6" customHeight="1" x14ac:dyDescent="0.3">
      <c r="A31" s="82" t="s">
        <v>380</v>
      </c>
      <c r="B31" s="284" t="s">
        <v>388</v>
      </c>
      <c r="C31" s="284"/>
      <c r="D31" s="284"/>
      <c r="E31" s="284"/>
      <c r="F31" s="284"/>
      <c r="G31" s="284"/>
      <c r="H31" s="284"/>
      <c r="I31" s="286" t="s">
        <v>447</v>
      </c>
      <c r="J31" s="286"/>
      <c r="K31" s="286"/>
      <c r="L31" s="286"/>
      <c r="M31" s="286"/>
      <c r="N31" s="286"/>
      <c r="O31" s="286"/>
      <c r="P31" s="286"/>
      <c r="Q31" s="286"/>
      <c r="R31" s="286"/>
      <c r="S31" s="286"/>
      <c r="T31" s="110"/>
    </row>
    <row r="32" spans="1:20" x14ac:dyDescent="0.3">
      <c r="T32" s="110"/>
    </row>
    <row r="33" spans="1:20" ht="78.599999999999994" customHeight="1" x14ac:dyDescent="0.3">
      <c r="A33" s="88" t="s">
        <v>390</v>
      </c>
      <c r="B33" s="289" t="s">
        <v>391</v>
      </c>
      <c r="C33" s="289"/>
      <c r="D33" s="289"/>
      <c r="E33" s="289"/>
      <c r="F33" s="289"/>
      <c r="G33" s="289"/>
      <c r="H33" s="289"/>
      <c r="I33" s="288" t="s">
        <v>442</v>
      </c>
      <c r="J33" s="288"/>
      <c r="K33" s="288"/>
      <c r="L33" s="288"/>
      <c r="M33" s="288"/>
      <c r="N33" s="288"/>
      <c r="O33" s="288"/>
      <c r="P33" s="288"/>
      <c r="Q33" s="288"/>
      <c r="R33" s="288"/>
      <c r="S33" s="288"/>
      <c r="T33" s="110"/>
    </row>
    <row r="34" spans="1:20" ht="9" customHeight="1" x14ac:dyDescent="0.3">
      <c r="A34" s="78"/>
      <c r="B34" s="78"/>
      <c r="C34" s="78"/>
      <c r="D34" s="78"/>
      <c r="E34" s="78"/>
      <c r="F34" s="78"/>
      <c r="G34" s="78"/>
      <c r="H34" s="78"/>
      <c r="I34" s="78"/>
      <c r="J34" s="78"/>
      <c r="K34" s="78"/>
      <c r="L34" s="78"/>
      <c r="M34" s="78"/>
      <c r="N34" s="78"/>
      <c r="O34" s="78"/>
      <c r="P34" s="78"/>
      <c r="Q34" s="78"/>
      <c r="R34" s="78"/>
      <c r="S34" s="78"/>
      <c r="T34" s="110"/>
    </row>
    <row r="35" spans="1:20" x14ac:dyDescent="0.3">
      <c r="A35" s="78"/>
      <c r="B35" s="90" t="s">
        <v>375</v>
      </c>
      <c r="C35" s="78"/>
      <c r="D35" s="78"/>
      <c r="E35" s="78"/>
      <c r="F35" s="78"/>
      <c r="G35" s="78"/>
      <c r="H35" s="78"/>
      <c r="I35" s="78"/>
      <c r="J35" s="78"/>
      <c r="K35" s="78"/>
      <c r="L35" s="78"/>
      <c r="M35" s="78"/>
      <c r="N35" s="78"/>
      <c r="O35" s="78"/>
      <c r="P35" s="78"/>
      <c r="Q35" s="78"/>
      <c r="R35" s="78"/>
      <c r="S35" s="78"/>
      <c r="T35" s="110"/>
    </row>
    <row r="36" spans="1:20" ht="105" customHeight="1" x14ac:dyDescent="0.3">
      <c r="A36" s="82" t="s">
        <v>376</v>
      </c>
      <c r="B36" s="284" t="s">
        <v>392</v>
      </c>
      <c r="C36" s="284"/>
      <c r="D36" s="284"/>
      <c r="E36" s="284"/>
      <c r="F36" s="284"/>
      <c r="G36" s="284"/>
      <c r="H36" s="284"/>
      <c r="I36" s="285" t="s">
        <v>444</v>
      </c>
      <c r="J36" s="285"/>
      <c r="K36" s="285"/>
      <c r="L36" s="285"/>
      <c r="M36" s="285"/>
      <c r="N36" s="285"/>
      <c r="O36" s="285"/>
      <c r="P36" s="285"/>
      <c r="Q36" s="285"/>
      <c r="R36" s="285"/>
      <c r="S36" s="285"/>
      <c r="T36" s="110"/>
    </row>
    <row r="37" spans="1:20" x14ac:dyDescent="0.3">
      <c r="A37" s="79"/>
      <c r="B37" s="87"/>
      <c r="C37" s="87"/>
      <c r="D37" s="87"/>
      <c r="E37" s="87"/>
      <c r="F37" s="87"/>
      <c r="G37" s="87"/>
      <c r="H37" s="87"/>
      <c r="I37" s="78"/>
      <c r="J37" s="78"/>
      <c r="K37" s="78"/>
      <c r="L37" s="78"/>
      <c r="M37" s="78"/>
      <c r="N37" s="78"/>
      <c r="O37" s="78"/>
      <c r="P37" s="78"/>
      <c r="Q37" s="78"/>
      <c r="R37" s="78"/>
      <c r="S37" s="78"/>
      <c r="T37" s="110"/>
    </row>
    <row r="38" spans="1:20" ht="121.2" customHeight="1" x14ac:dyDescent="0.3">
      <c r="A38" s="82" t="s">
        <v>378</v>
      </c>
      <c r="B38" s="284" t="s">
        <v>393</v>
      </c>
      <c r="C38" s="284"/>
      <c r="D38" s="284"/>
      <c r="E38" s="284"/>
      <c r="F38" s="284"/>
      <c r="G38" s="284"/>
      <c r="H38" s="284"/>
      <c r="I38" s="285" t="s">
        <v>441</v>
      </c>
      <c r="J38" s="285"/>
      <c r="K38" s="285"/>
      <c r="L38" s="285"/>
      <c r="M38" s="285"/>
      <c r="N38" s="285"/>
      <c r="O38" s="285"/>
      <c r="P38" s="285"/>
      <c r="Q38" s="285"/>
      <c r="R38" s="285"/>
      <c r="S38" s="285"/>
      <c r="T38" s="110"/>
    </row>
    <row r="39" spans="1:20" x14ac:dyDescent="0.3">
      <c r="A39" s="79"/>
      <c r="B39" s="87"/>
      <c r="C39" s="87"/>
      <c r="D39" s="87"/>
      <c r="E39" s="87"/>
      <c r="F39" s="87"/>
      <c r="G39" s="87"/>
      <c r="H39" s="87"/>
      <c r="I39" s="78"/>
      <c r="J39" s="78"/>
      <c r="K39" s="78"/>
      <c r="L39" s="78"/>
      <c r="M39" s="78"/>
      <c r="N39" s="78"/>
      <c r="O39" s="78"/>
      <c r="P39" s="78"/>
      <c r="Q39" s="78"/>
      <c r="R39" s="78"/>
      <c r="S39" s="78"/>
      <c r="T39" s="110"/>
    </row>
    <row r="40" spans="1:20" ht="133.19999999999999" customHeight="1" x14ac:dyDescent="0.3">
      <c r="A40" s="82" t="s">
        <v>380</v>
      </c>
      <c r="B40" s="284" t="s">
        <v>394</v>
      </c>
      <c r="C40" s="284"/>
      <c r="D40" s="284"/>
      <c r="E40" s="284"/>
      <c r="F40" s="284"/>
      <c r="G40" s="284"/>
      <c r="H40" s="284"/>
      <c r="I40" s="286" t="s">
        <v>440</v>
      </c>
      <c r="J40" s="286"/>
      <c r="K40" s="286"/>
      <c r="L40" s="286"/>
      <c r="M40" s="286"/>
      <c r="N40" s="286"/>
      <c r="O40" s="286"/>
      <c r="P40" s="286"/>
      <c r="Q40" s="286"/>
      <c r="R40" s="286"/>
      <c r="S40" s="286"/>
      <c r="T40" s="110"/>
    </row>
    <row r="41" spans="1:20" x14ac:dyDescent="0.3">
      <c r="B41" s="87"/>
      <c r="C41" s="87"/>
      <c r="D41" s="87"/>
      <c r="E41" s="87"/>
      <c r="F41" s="87"/>
      <c r="G41" s="87"/>
      <c r="H41" s="87"/>
      <c r="T41" s="110"/>
    </row>
    <row r="42" spans="1:20" ht="102" customHeight="1" x14ac:dyDescent="0.3">
      <c r="A42" s="86" t="s">
        <v>395</v>
      </c>
      <c r="B42" s="290" t="s">
        <v>396</v>
      </c>
      <c r="C42" s="290"/>
      <c r="D42" s="290"/>
      <c r="E42" s="290"/>
      <c r="F42" s="290"/>
      <c r="G42" s="290"/>
      <c r="H42" s="290"/>
      <c r="I42" s="288" t="s">
        <v>448</v>
      </c>
      <c r="J42" s="288"/>
      <c r="K42" s="288"/>
      <c r="L42" s="288"/>
      <c r="M42" s="288"/>
      <c r="N42" s="288"/>
      <c r="O42" s="288"/>
      <c r="P42" s="288"/>
      <c r="Q42" s="288"/>
      <c r="R42" s="288"/>
      <c r="S42" s="288"/>
      <c r="T42" s="110"/>
    </row>
    <row r="43" spans="1:20" x14ac:dyDescent="0.3">
      <c r="T43" s="110"/>
    </row>
    <row r="44" spans="1:20" x14ac:dyDescent="0.3">
      <c r="A44" s="78"/>
      <c r="B44" s="90" t="s">
        <v>397</v>
      </c>
      <c r="C44" s="78"/>
      <c r="D44" s="78"/>
      <c r="E44" s="78"/>
      <c r="F44" s="78"/>
      <c r="G44" s="78"/>
      <c r="H44" s="78"/>
      <c r="I44" s="78"/>
      <c r="J44" s="78"/>
      <c r="K44" s="78"/>
      <c r="T44" s="110"/>
    </row>
    <row r="45" spans="1:20" ht="161.4" customHeight="1" x14ac:dyDescent="0.3">
      <c r="A45" s="82" t="s">
        <v>376</v>
      </c>
      <c r="B45" s="284" t="s">
        <v>398</v>
      </c>
      <c r="C45" s="284"/>
      <c r="D45" s="284"/>
      <c r="E45" s="284"/>
      <c r="F45" s="284"/>
      <c r="G45" s="284"/>
      <c r="H45" s="284"/>
      <c r="I45" s="285" t="s">
        <v>435</v>
      </c>
      <c r="J45" s="291"/>
      <c r="K45" s="291"/>
      <c r="L45" s="291"/>
      <c r="M45" s="291"/>
      <c r="N45" s="291"/>
      <c r="O45" s="291"/>
      <c r="P45" s="291"/>
      <c r="Q45" s="291"/>
      <c r="R45" s="291"/>
      <c r="S45" s="291"/>
      <c r="T45" s="110"/>
    </row>
    <row r="46" spans="1:20" x14ac:dyDescent="0.3">
      <c r="A46" s="79"/>
      <c r="B46" s="78"/>
      <c r="C46" s="78"/>
      <c r="D46" s="78"/>
      <c r="E46" s="78"/>
      <c r="F46" s="78"/>
      <c r="G46" s="78"/>
      <c r="H46" s="78"/>
      <c r="I46" s="78"/>
      <c r="J46" s="78"/>
      <c r="K46" s="78"/>
      <c r="T46" s="110"/>
    </row>
    <row r="47" spans="1:20" ht="132" customHeight="1" x14ac:dyDescent="0.3">
      <c r="A47" s="82" t="s">
        <v>378</v>
      </c>
      <c r="B47" s="284" t="s">
        <v>399</v>
      </c>
      <c r="C47" s="284"/>
      <c r="D47" s="284"/>
      <c r="E47" s="284"/>
      <c r="F47" s="284"/>
      <c r="G47" s="284"/>
      <c r="H47" s="284"/>
      <c r="I47" s="285" t="s">
        <v>437</v>
      </c>
      <c r="J47" s="291"/>
      <c r="K47" s="291"/>
      <c r="L47" s="291"/>
      <c r="M47" s="291"/>
      <c r="N47" s="291"/>
      <c r="O47" s="291"/>
      <c r="P47" s="291"/>
      <c r="Q47" s="291"/>
      <c r="R47" s="291"/>
      <c r="S47" s="291"/>
      <c r="T47" s="110"/>
    </row>
    <row r="48" spans="1:20" x14ac:dyDescent="0.3">
      <c r="T48" s="110"/>
    </row>
    <row r="49" spans="1:20" ht="37.200000000000003" customHeight="1" x14ac:dyDescent="0.3">
      <c r="A49" s="86" t="s">
        <v>400</v>
      </c>
      <c r="B49" s="290" t="s">
        <v>401</v>
      </c>
      <c r="C49" s="290"/>
      <c r="D49" s="290"/>
      <c r="E49" s="290"/>
      <c r="F49" s="290"/>
      <c r="G49" s="290"/>
      <c r="H49" s="290"/>
      <c r="I49" s="288" t="s">
        <v>443</v>
      </c>
      <c r="J49" s="288"/>
      <c r="K49" s="288"/>
      <c r="L49" s="288"/>
      <c r="M49" s="288"/>
      <c r="N49" s="288"/>
      <c r="O49" s="288"/>
      <c r="P49" s="288"/>
      <c r="Q49" s="288"/>
      <c r="R49" s="288"/>
      <c r="S49" s="288"/>
      <c r="T49" s="110"/>
    </row>
    <row r="50" spans="1:20" x14ac:dyDescent="0.3">
      <c r="T50" s="110"/>
    </row>
    <row r="51" spans="1:20" x14ac:dyDescent="0.3">
      <c r="B51" s="89" t="s">
        <v>375</v>
      </c>
      <c r="T51" s="110"/>
    </row>
    <row r="52" spans="1:20" ht="42.6" customHeight="1" x14ac:dyDescent="0.3">
      <c r="A52" s="82" t="s">
        <v>376</v>
      </c>
      <c r="B52" s="283" t="s">
        <v>402</v>
      </c>
      <c r="C52" s="283"/>
      <c r="D52" s="283"/>
      <c r="E52" s="283"/>
      <c r="F52" s="283"/>
      <c r="G52" s="283"/>
      <c r="H52" s="283"/>
      <c r="I52" s="285" t="s">
        <v>404</v>
      </c>
      <c r="J52" s="285"/>
      <c r="K52" s="285"/>
      <c r="L52" s="285"/>
      <c r="M52" s="285"/>
      <c r="N52" s="285"/>
      <c r="O52" s="285"/>
      <c r="P52" s="285"/>
      <c r="Q52" s="285"/>
      <c r="R52" s="285"/>
      <c r="S52" s="285"/>
      <c r="T52" s="110"/>
    </row>
    <row r="53" spans="1:20" x14ac:dyDescent="0.3">
      <c r="A53" s="79"/>
      <c r="T53" s="110"/>
    </row>
    <row r="54" spans="1:20" x14ac:dyDescent="0.3">
      <c r="A54" s="82" t="s">
        <v>378</v>
      </c>
      <c r="B54" s="283" t="s">
        <v>403</v>
      </c>
      <c r="C54" s="283"/>
      <c r="D54" s="283"/>
      <c r="E54" s="283"/>
      <c r="F54" s="283"/>
      <c r="G54" s="283"/>
      <c r="H54" s="283"/>
      <c r="I54" s="291" t="s">
        <v>405</v>
      </c>
      <c r="J54" s="291"/>
      <c r="K54" s="291"/>
      <c r="L54" s="291"/>
      <c r="M54" s="291"/>
      <c r="N54" s="291"/>
      <c r="O54" s="291"/>
      <c r="P54" s="291"/>
      <c r="Q54" s="291"/>
      <c r="R54" s="291"/>
      <c r="S54" s="291"/>
      <c r="T54" s="110"/>
    </row>
    <row r="55" spans="1:20" x14ac:dyDescent="0.3">
      <c r="T55" s="110"/>
    </row>
    <row r="56" spans="1:20" ht="130.80000000000001" customHeight="1" x14ac:dyDescent="0.3">
      <c r="A56" s="86" t="s">
        <v>406</v>
      </c>
      <c r="B56" s="290" t="s">
        <v>407</v>
      </c>
      <c r="C56" s="290"/>
      <c r="D56" s="290"/>
      <c r="E56" s="290"/>
      <c r="F56" s="290"/>
      <c r="G56" s="290"/>
      <c r="H56" s="290"/>
      <c r="I56" s="288" t="s">
        <v>439</v>
      </c>
      <c r="J56" s="288"/>
      <c r="K56" s="288"/>
      <c r="L56" s="288"/>
      <c r="M56" s="288"/>
      <c r="N56" s="288"/>
      <c r="O56" s="288"/>
      <c r="P56" s="288"/>
      <c r="Q56" s="288"/>
      <c r="R56" s="288"/>
      <c r="S56" s="288"/>
      <c r="T56" s="110"/>
    </row>
    <row r="57" spans="1:20" x14ac:dyDescent="0.3">
      <c r="T57" s="110"/>
    </row>
    <row r="58" spans="1:20" x14ac:dyDescent="0.3">
      <c r="B58" s="89" t="s">
        <v>397</v>
      </c>
      <c r="C58" s="89"/>
      <c r="T58" s="110"/>
    </row>
    <row r="59" spans="1:20" ht="67.8" customHeight="1" x14ac:dyDescent="0.3">
      <c r="A59" s="82" t="s">
        <v>376</v>
      </c>
      <c r="B59" s="284" t="s">
        <v>408</v>
      </c>
      <c r="C59" s="284"/>
      <c r="D59" s="284"/>
      <c r="E59" s="284"/>
      <c r="F59" s="284"/>
      <c r="G59" s="284"/>
      <c r="H59" s="284"/>
      <c r="I59" s="285" t="s">
        <v>438</v>
      </c>
      <c r="J59" s="285"/>
      <c r="K59" s="285"/>
      <c r="L59" s="285"/>
      <c r="M59" s="285"/>
      <c r="N59" s="285"/>
      <c r="O59" s="285"/>
      <c r="P59" s="285"/>
      <c r="Q59" s="285"/>
      <c r="R59" s="285"/>
      <c r="S59" s="285"/>
      <c r="T59" s="110"/>
    </row>
    <row r="60" spans="1:20" x14ac:dyDescent="0.3">
      <c r="A60" s="79"/>
      <c r="B60" s="78"/>
      <c r="C60" s="78"/>
      <c r="D60" s="78"/>
      <c r="E60" s="78"/>
      <c r="F60" s="78"/>
      <c r="G60" s="78"/>
      <c r="H60" s="78"/>
      <c r="T60" s="110"/>
    </row>
    <row r="61" spans="1:20" ht="318" customHeight="1" x14ac:dyDescent="0.3">
      <c r="A61" s="294" t="s">
        <v>409</v>
      </c>
      <c r="B61" s="292" t="s">
        <v>410</v>
      </c>
      <c r="C61" s="292"/>
      <c r="D61" s="292"/>
      <c r="E61" s="292"/>
      <c r="F61" s="292"/>
      <c r="G61" s="292"/>
      <c r="H61" s="292"/>
      <c r="I61" s="285" t="s">
        <v>453</v>
      </c>
      <c r="J61" s="291"/>
      <c r="K61" s="291"/>
      <c r="L61" s="291"/>
      <c r="M61" s="291"/>
      <c r="N61" s="291"/>
      <c r="O61" s="291"/>
      <c r="P61" s="291"/>
      <c r="Q61" s="291"/>
      <c r="R61" s="291"/>
      <c r="S61" s="291"/>
      <c r="T61" s="110"/>
    </row>
    <row r="62" spans="1:20" ht="265.2" customHeight="1" x14ac:dyDescent="0.3">
      <c r="A62" s="295"/>
      <c r="B62" s="293"/>
      <c r="C62" s="293"/>
      <c r="D62" s="293"/>
      <c r="E62" s="293"/>
      <c r="F62" s="293"/>
      <c r="G62" s="293"/>
      <c r="H62" s="293"/>
      <c r="I62" s="286" t="s">
        <v>454</v>
      </c>
      <c r="J62" s="286"/>
      <c r="K62" s="286"/>
      <c r="L62" s="286"/>
      <c r="M62" s="286"/>
      <c r="N62" s="286"/>
      <c r="O62" s="286"/>
      <c r="P62" s="286"/>
      <c r="Q62" s="286"/>
      <c r="R62" s="286"/>
      <c r="S62" s="286"/>
      <c r="T62" s="110"/>
    </row>
    <row r="63" spans="1:20" x14ac:dyDescent="0.3">
      <c r="A63" s="79"/>
      <c r="B63" s="78"/>
      <c r="C63" s="78"/>
      <c r="D63" s="78"/>
      <c r="E63" s="78"/>
      <c r="F63" s="78"/>
      <c r="G63" s="78"/>
      <c r="H63" s="78"/>
      <c r="T63" s="110"/>
    </row>
    <row r="64" spans="1:20" ht="98.4" customHeight="1" x14ac:dyDescent="0.3">
      <c r="A64" s="86" t="s">
        <v>411</v>
      </c>
      <c r="B64" s="290" t="s">
        <v>412</v>
      </c>
      <c r="C64" s="290"/>
      <c r="D64" s="290"/>
      <c r="E64" s="290"/>
      <c r="F64" s="290"/>
      <c r="G64" s="290"/>
      <c r="H64" s="290"/>
      <c r="I64" s="285" t="s">
        <v>418</v>
      </c>
      <c r="J64" s="285"/>
      <c r="K64" s="285"/>
      <c r="L64" s="285"/>
      <c r="M64" s="285"/>
      <c r="N64" s="285"/>
      <c r="O64" s="285"/>
      <c r="P64" s="285"/>
      <c r="Q64" s="285"/>
      <c r="R64" s="285"/>
      <c r="S64" s="285"/>
      <c r="T64" s="110"/>
    </row>
    <row r="65" spans="1:19" x14ac:dyDescent="0.3">
      <c r="A65" s="79"/>
      <c r="B65" s="78"/>
      <c r="C65" s="78"/>
      <c r="D65" s="78"/>
      <c r="E65" s="78"/>
      <c r="F65" s="78"/>
      <c r="G65" s="78"/>
      <c r="H65" s="78"/>
    </row>
    <row r="66" spans="1:19" x14ac:dyDescent="0.3">
      <c r="A66" s="86" t="s">
        <v>413</v>
      </c>
      <c r="B66" s="296" t="s">
        <v>414</v>
      </c>
      <c r="C66" s="296"/>
      <c r="D66" s="296"/>
      <c r="E66" s="296"/>
      <c r="F66" s="296"/>
      <c r="G66" s="296"/>
      <c r="H66" s="296"/>
      <c r="I66" s="291" t="s">
        <v>417</v>
      </c>
      <c r="J66" s="291"/>
      <c r="K66" s="291"/>
      <c r="L66" s="291"/>
      <c r="M66" s="291"/>
      <c r="N66" s="291"/>
      <c r="O66" s="291"/>
      <c r="P66" s="291"/>
      <c r="Q66" s="291"/>
      <c r="R66" s="291"/>
      <c r="S66" s="291"/>
    </row>
    <row r="67" spans="1:19" x14ac:dyDescent="0.3">
      <c r="A67" s="79"/>
      <c r="B67" s="78"/>
      <c r="C67" s="78"/>
      <c r="D67" s="78"/>
      <c r="E67" s="78"/>
      <c r="F67" s="78"/>
      <c r="G67" s="78"/>
      <c r="H67" s="78"/>
    </row>
    <row r="68" spans="1:19" ht="54" customHeight="1" x14ac:dyDescent="0.3">
      <c r="A68" s="86" t="s">
        <v>415</v>
      </c>
      <c r="B68" s="296" t="s">
        <v>416</v>
      </c>
      <c r="C68" s="296"/>
      <c r="D68" s="296"/>
      <c r="E68" s="296"/>
      <c r="F68" s="296"/>
      <c r="G68" s="296"/>
      <c r="H68" s="296"/>
      <c r="I68" s="285" t="s">
        <v>450</v>
      </c>
      <c r="J68" s="291"/>
      <c r="K68" s="291"/>
      <c r="L68" s="291"/>
      <c r="M68" s="291"/>
      <c r="N68" s="291"/>
      <c r="O68" s="291"/>
      <c r="P68" s="291"/>
      <c r="Q68" s="291"/>
      <c r="R68" s="291"/>
      <c r="S68" s="291"/>
    </row>
  </sheetData>
  <mergeCells count="60">
    <mergeCell ref="A61:A62"/>
    <mergeCell ref="B66:H66"/>
    <mergeCell ref="I64:S64"/>
    <mergeCell ref="I66:S66"/>
    <mergeCell ref="B68:H68"/>
    <mergeCell ref="I68:S68"/>
    <mergeCell ref="B59:H59"/>
    <mergeCell ref="I59:S59"/>
    <mergeCell ref="I61:S61"/>
    <mergeCell ref="B64:H64"/>
    <mergeCell ref="I62:S62"/>
    <mergeCell ref="B61:H62"/>
    <mergeCell ref="B52:H52"/>
    <mergeCell ref="I52:S52"/>
    <mergeCell ref="B54:H54"/>
    <mergeCell ref="I54:S54"/>
    <mergeCell ref="B56:H56"/>
    <mergeCell ref="I56:S56"/>
    <mergeCell ref="B45:H45"/>
    <mergeCell ref="B47:H47"/>
    <mergeCell ref="I45:S45"/>
    <mergeCell ref="I47:S47"/>
    <mergeCell ref="B49:H49"/>
    <mergeCell ref="I49:S49"/>
    <mergeCell ref="B38:H38"/>
    <mergeCell ref="I38:S38"/>
    <mergeCell ref="B40:H40"/>
    <mergeCell ref="I40:S40"/>
    <mergeCell ref="B42:H42"/>
    <mergeCell ref="I42:S42"/>
    <mergeCell ref="B31:H31"/>
    <mergeCell ref="I31:S31"/>
    <mergeCell ref="I33:S33"/>
    <mergeCell ref="B33:H33"/>
    <mergeCell ref="B36:H36"/>
    <mergeCell ref="I36:S36"/>
    <mergeCell ref="B24:H24"/>
    <mergeCell ref="I24:S24"/>
    <mergeCell ref="B27:H27"/>
    <mergeCell ref="I27:S27"/>
    <mergeCell ref="B29:H29"/>
    <mergeCell ref="I29:S29"/>
    <mergeCell ref="B20:H20"/>
    <mergeCell ref="B22:H22"/>
    <mergeCell ref="B18:H18"/>
    <mergeCell ref="I18:S18"/>
    <mergeCell ref="I20:S20"/>
    <mergeCell ref="I22:S22"/>
    <mergeCell ref="B15:H15"/>
    <mergeCell ref="I15:S15"/>
    <mergeCell ref="J9:N9"/>
    <mergeCell ref="J10:N10"/>
    <mergeCell ref="J11:N11"/>
    <mergeCell ref="J12:N12"/>
    <mergeCell ref="J8:N8"/>
    <mergeCell ref="F3:G3"/>
    <mergeCell ref="J4:N4"/>
    <mergeCell ref="J5:N5"/>
    <mergeCell ref="J6:N6"/>
    <mergeCell ref="J7:N7"/>
  </mergeCells>
  <pageMargins left="0.7" right="0.7" top="0.75" bottom="0.75" header="0.3" footer="0.3"/>
  <pageSetup paperSize="9" scale="7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selection sqref="A1:G9"/>
    </sheetView>
  </sheetViews>
  <sheetFormatPr defaultRowHeight="14.4" x14ac:dyDescent="0.3"/>
  <cols>
    <col min="2" max="2" width="16.77734375" customWidth="1"/>
    <col min="3" max="3" width="16.88671875" customWidth="1"/>
    <col min="4" max="4" width="15.77734375" customWidth="1"/>
    <col min="5" max="5" width="16.109375" customWidth="1"/>
    <col min="6" max="6" width="18.21875" customWidth="1"/>
    <col min="7" max="7" width="17.6640625" customWidth="1"/>
  </cols>
  <sheetData>
    <row r="1" spans="1:7" x14ac:dyDescent="0.3">
      <c r="A1" s="4" t="s">
        <v>364</v>
      </c>
      <c r="B1" s="52" t="s">
        <v>365</v>
      </c>
      <c r="C1" s="53"/>
      <c r="D1" s="53"/>
      <c r="E1" s="53"/>
      <c r="F1" s="53"/>
      <c r="G1" s="59"/>
    </row>
    <row r="2" spans="1:7" x14ac:dyDescent="0.3">
      <c r="A2" s="54"/>
      <c r="B2" s="55"/>
      <c r="C2" s="56"/>
      <c r="D2" s="56"/>
      <c r="E2" s="56"/>
      <c r="F2" s="56"/>
      <c r="G2" s="56"/>
    </row>
    <row r="3" spans="1:7" ht="24" x14ac:dyDescent="0.3">
      <c r="A3" s="13" t="s">
        <v>366</v>
      </c>
      <c r="B3" s="13" t="s">
        <v>367</v>
      </c>
      <c r="C3" s="13" t="s">
        <v>368</v>
      </c>
      <c r="D3" s="13" t="s">
        <v>369</v>
      </c>
      <c r="E3" s="13" t="s">
        <v>370</v>
      </c>
      <c r="F3" s="13" t="s">
        <v>371</v>
      </c>
      <c r="G3" s="13" t="s">
        <v>372</v>
      </c>
    </row>
    <row r="4" spans="1:7" x14ac:dyDescent="0.3">
      <c r="A4" s="60"/>
      <c r="B4" s="61" t="s">
        <v>373</v>
      </c>
      <c r="C4" s="61" t="s">
        <v>373</v>
      </c>
      <c r="D4" s="61" t="s">
        <v>373</v>
      </c>
      <c r="E4" s="61" t="s">
        <v>373</v>
      </c>
      <c r="F4" s="61" t="s">
        <v>373</v>
      </c>
      <c r="G4" s="61" t="s">
        <v>373</v>
      </c>
    </row>
    <row r="5" spans="1:7" x14ac:dyDescent="0.3">
      <c r="A5" s="60"/>
      <c r="B5" s="61"/>
      <c r="C5" s="62"/>
      <c r="D5" s="62"/>
      <c r="E5" s="62"/>
      <c r="F5" s="62"/>
      <c r="G5" s="62"/>
    </row>
    <row r="6" spans="1:7" x14ac:dyDescent="0.3">
      <c r="A6" s="60"/>
      <c r="B6" s="61"/>
      <c r="C6" s="62"/>
      <c r="D6" s="62"/>
      <c r="E6" s="62"/>
      <c r="F6" s="62"/>
      <c r="G6" s="62"/>
    </row>
    <row r="7" spans="1:7" x14ac:dyDescent="0.3">
      <c r="A7" s="60"/>
      <c r="B7" s="61"/>
      <c r="C7" s="62"/>
      <c r="D7" s="62"/>
      <c r="E7" s="62"/>
      <c r="F7" s="62"/>
      <c r="G7" s="62"/>
    </row>
    <row r="8" spans="1:7" x14ac:dyDescent="0.3">
      <c r="A8" s="60"/>
      <c r="B8" s="61"/>
      <c r="C8" s="62"/>
      <c r="D8" s="62"/>
      <c r="E8" s="62"/>
      <c r="F8" s="62"/>
      <c r="G8" s="62"/>
    </row>
    <row r="9" spans="1:7" x14ac:dyDescent="0.3">
      <c r="A9" s="60"/>
      <c r="B9" s="63"/>
      <c r="C9" s="63"/>
      <c r="D9" s="63"/>
      <c r="E9" s="63"/>
      <c r="F9" s="63"/>
      <c r="G9" s="62"/>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vt:i4>
      </vt:variant>
    </vt:vector>
  </HeadingPairs>
  <TitlesOfParts>
    <vt:vector size="7" baseType="lpstr">
      <vt:lpstr>Sprawozdanie z realizacji LSR</vt:lpstr>
      <vt:lpstr>Finansowy postęp</vt:lpstr>
      <vt:lpstr>Rzeczowy postęp</vt:lpstr>
      <vt:lpstr>Wskaźniki obowiązkowe PROW</vt:lpstr>
      <vt:lpstr>Wskaźniki obowiązkowe PO RYBY</vt:lpstr>
      <vt:lpstr>Ewaluacja wewnętrzna</vt:lpstr>
      <vt:lpstr>Kontrole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EWELINA</dc:creator>
  <cp:lastModifiedBy>EWELINA</cp:lastModifiedBy>
  <cp:lastPrinted>2023-04-27T11:40:52Z</cp:lastPrinted>
  <dcterms:created xsi:type="dcterms:W3CDTF">2023-02-09T08:14:03Z</dcterms:created>
  <dcterms:modified xsi:type="dcterms:W3CDTF">2023-05-18T06:41:02Z</dcterms:modified>
</cp:coreProperties>
</file>