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ELINA\Desktop\SGR_2021_2027\03_Konsultacje\00_Ankietowanie\05_Ankieta_wskaźniki_poprawione_ostateczne\"/>
    </mc:Choice>
  </mc:AlternateContent>
  <bookViews>
    <workbookView xWindow="0" yWindow="0" windowWidth="23040" windowHeight="8904"/>
  </bookViews>
  <sheets>
    <sheet name="Wskaźnik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D4" i="2"/>
  <c r="H3" i="2"/>
  <c r="G3" i="2"/>
  <c r="G14" i="2" l="1"/>
  <c r="G8" i="2"/>
  <c r="F70" i="2"/>
  <c r="E49" i="2"/>
  <c r="E31" i="2"/>
  <c r="L11" i="2"/>
  <c r="L29" i="2"/>
  <c r="E4" i="2"/>
  <c r="F80" i="2" l="1"/>
  <c r="G77" i="2" l="1"/>
  <c r="D77" i="2"/>
  <c r="F77" i="2"/>
  <c r="F14" i="2"/>
  <c r="E77" i="2" s="1"/>
  <c r="H77" i="2"/>
  <c r="J77" i="2" l="1"/>
  <c r="G29" i="2"/>
  <c r="J78" i="2" l="1"/>
  <c r="J79" i="2"/>
  <c r="J12" i="2" l="1"/>
  <c r="J15" i="2" s="1"/>
  <c r="J51" i="2"/>
  <c r="J54" i="2"/>
  <c r="J42" i="2"/>
  <c r="D34" i="2" l="1"/>
  <c r="J57" i="2"/>
  <c r="H55" i="2"/>
  <c r="J24" i="2"/>
  <c r="J48" i="2" s="1"/>
  <c r="M18" i="2"/>
  <c r="M16" i="2"/>
  <c r="L13" i="2"/>
  <c r="M4" i="2"/>
  <c r="L30" i="2" l="1"/>
  <c r="L49" i="2" l="1"/>
  <c r="J11" i="2" l="1"/>
  <c r="I47" i="2" l="1"/>
  <c r="G52" i="2"/>
  <c r="M52" i="2"/>
  <c r="M49" i="2"/>
  <c r="G49" i="2"/>
  <c r="M47" i="2"/>
  <c r="E47" i="2"/>
  <c r="D73" i="2" s="1"/>
  <c r="F44" i="2"/>
  <c r="F41" i="2"/>
  <c r="J29" i="2"/>
  <c r="F16" i="2"/>
  <c r="F47" i="2" l="1"/>
  <c r="H47" i="2" s="1"/>
  <c r="G47" i="2"/>
  <c r="F11" i="2"/>
  <c r="F8" i="2"/>
  <c r="F4" i="2" l="1"/>
  <c r="H4" i="2" s="1"/>
  <c r="F55" i="2" l="1"/>
  <c r="F52" i="2"/>
  <c r="H52" i="2" s="1"/>
  <c r="F49" i="2"/>
  <c r="H49" i="2" s="1"/>
  <c r="F34" i="2"/>
  <c r="F29" i="2"/>
  <c r="F26" i="2"/>
  <c r="F23" i="2"/>
  <c r="B73" i="2"/>
  <c r="B71" i="2"/>
  <c r="A71" i="2"/>
  <c r="F31" i="2" l="1"/>
  <c r="H31" i="2" s="1"/>
  <c r="E37" i="2"/>
  <c r="F59" i="2"/>
  <c r="E59" i="2"/>
  <c r="F38" i="2"/>
  <c r="E38" i="2"/>
  <c r="F20" i="2"/>
  <c r="E19" i="2"/>
  <c r="F37" i="2" l="1"/>
  <c r="E39" i="2"/>
  <c r="F62" i="2"/>
  <c r="G16" i="2" l="1"/>
  <c r="H16" i="2"/>
  <c r="M34" i="2" l="1"/>
  <c r="J30" i="2"/>
  <c r="J35" i="2" s="1"/>
  <c r="G44" i="2"/>
  <c r="H44" i="2"/>
  <c r="G41" i="2"/>
  <c r="H34" i="2"/>
  <c r="G26" i="2"/>
  <c r="H26" i="2"/>
  <c r="G4" i="2" l="1"/>
  <c r="H41" i="2"/>
  <c r="G55" i="2"/>
  <c r="G31" i="2"/>
  <c r="H23" i="2"/>
  <c r="F19" i="2"/>
  <c r="F21" i="2" s="1"/>
  <c r="J17" i="2" l="1"/>
  <c r="F58" i="2"/>
  <c r="F61" i="2" s="1"/>
  <c r="F63" i="2" l="1"/>
  <c r="F60" i="2"/>
  <c r="E20" i="2"/>
  <c r="E62" i="2" l="1"/>
  <c r="E21" i="2"/>
  <c r="J13" i="2"/>
  <c r="J25" i="2" l="1"/>
  <c r="J18" i="2"/>
  <c r="G34" i="2"/>
  <c r="F39" i="2" l="1"/>
  <c r="E58" i="2"/>
  <c r="E60" i="2" l="1"/>
  <c r="E61" i="2"/>
  <c r="E65" i="2" s="1"/>
  <c r="E63" i="2" l="1"/>
  <c r="D74" i="2" s="1"/>
  <c r="F67" i="2" l="1"/>
  <c r="B74" i="2"/>
  <c r="A73" i="2"/>
</calcChain>
</file>

<file path=xl/comments1.xml><?xml version="1.0" encoding="utf-8"?>
<comments xmlns="http://schemas.openxmlformats.org/spreadsheetml/2006/main">
  <authors>
    <author>EWELINA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zdalne miejsca pracy - punkty, punkty - szkolenie kadry, zatrudnienie osóz grup def)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4 podejmowanie (150 000), 4 rozwój (500 000)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2 podejmowanie (150 tyś.), 2 rozowj (500 tyś.)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1 podejmowanie (150 000zł), 2 rozój (300 tyś. zł)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1 podejmowanie - 150 000 + 1 rozwój - reszta kasy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pomyłka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Strategia jest innowacyjna sama w sobie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było 2 -50%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czyli tak naprawdę do rozliczenia operacji… więc może na jedną operację przyjąć 30 i niech wnioskodawcy zrobią wykaz osób odwiedzających miejsca...</t>
        </r>
      </text>
    </comment>
  </commentList>
</comments>
</file>

<file path=xl/sharedStrings.xml><?xml version="1.0" encoding="utf-8"?>
<sst xmlns="http://schemas.openxmlformats.org/spreadsheetml/2006/main" count="151" uniqueCount="111">
  <si>
    <t>C.1.: Tworzenie stref długowieczności</t>
  </si>
  <si>
    <t>przedsięwzięcie</t>
  </si>
  <si>
    <t>Program</t>
  </si>
  <si>
    <t>Rodzaj wsparcia</t>
  </si>
  <si>
    <t>beneficjent</t>
  </si>
  <si>
    <t>kwota na jedną operację</t>
  </si>
  <si>
    <t>PROW</t>
  </si>
  <si>
    <t>konkurs</t>
  </si>
  <si>
    <t>Mieszkańcy/przedsiębiorcy</t>
  </si>
  <si>
    <t>C.2.: Wzmocnienie rezyliencji</t>
  </si>
  <si>
    <t>granty</t>
  </si>
  <si>
    <t>FEP</t>
  </si>
  <si>
    <t>Konkurs/operacja własna</t>
  </si>
  <si>
    <t>C.3.: Wspieranie generatywności</t>
  </si>
  <si>
    <t>alokacja euro</t>
  </si>
  <si>
    <t>alokacja zł (4,6)</t>
  </si>
  <si>
    <t>wskaźniki produktu</t>
  </si>
  <si>
    <t>wskaźniki rezultatu</t>
  </si>
  <si>
    <t>Pojemność magazynów energii elektrycznej (MWh)</t>
  </si>
  <si>
    <t>Liczba osób objętych usługami świadczonymi w społeczności lokalnej w programie (osoby)</t>
  </si>
  <si>
    <t>Liczba osób z niepełnosprawnościami objętych wsparciem w programie (osoby)</t>
  </si>
  <si>
    <t>Pojemność nowych lub zmodernizowanych lokali socjalnych (osoby)</t>
  </si>
  <si>
    <t>Liczba wspartych obiektów, w których realizowane są usługi społeczne (sztuki)</t>
  </si>
  <si>
    <t>wartość</t>
  </si>
  <si>
    <t>Liczba obiektów kulturalnych i turystycznych objętych wsparciem (sztuki)</t>
  </si>
  <si>
    <t>Liczba operacji nastawiona na innowacje</t>
  </si>
  <si>
    <t>Razem cel 1 PROW</t>
  </si>
  <si>
    <t>razem cel 2 PROW</t>
  </si>
  <si>
    <t>razem cel 2 FEP</t>
  </si>
  <si>
    <t>razem LSR PROW</t>
  </si>
  <si>
    <t>razem LSR FEP</t>
  </si>
  <si>
    <t>razem cel 3 PROW</t>
  </si>
  <si>
    <t>razem cel 3 FEP</t>
  </si>
  <si>
    <t>razem cel 1</t>
  </si>
  <si>
    <t>razem cel 2</t>
  </si>
  <si>
    <t>razem cel 3</t>
  </si>
  <si>
    <t>razem LSR</t>
  </si>
  <si>
    <t>Wzrost gospodarczy i zatrudnienie na obszarach wiejskich: nowe miejsca pracy objęte wsparciem w ramach projektów WPR (liczba utworzonych miejsc pracy w przeliczeniu na etaty średnioroczne)</t>
  </si>
  <si>
    <t>Liczba operacji polegających na aktywizowaniu lokalnych liderów</t>
  </si>
  <si>
    <t>3.5. Aktywizacja lokalnych liderów</t>
  </si>
  <si>
    <t>Inteligentna przemiana gospodarki wiejskiej: Liczba wspieranych strategii inteligentnych wsi (liczba strategii)</t>
  </si>
  <si>
    <t>Razem cel 1 FEP</t>
  </si>
  <si>
    <t>Liczba obszarów objęta strategiami inteligentnych wsi</t>
  </si>
  <si>
    <t>konkurs - projekt w partnerstwie</t>
  </si>
  <si>
    <t>Wdrażnie LSR</t>
  </si>
  <si>
    <t>Max. na operacje własne</t>
  </si>
  <si>
    <t>obecne wykorzystanie</t>
  </si>
  <si>
    <t>Max. kwota dla JST w PROW</t>
  </si>
  <si>
    <t>% wsparcia</t>
  </si>
  <si>
    <t>100 / 75</t>
  </si>
  <si>
    <t xml:space="preserve">mieszkańcy/ przedsięwizęcie </t>
  </si>
  <si>
    <t xml:space="preserve">Konkurs </t>
  </si>
  <si>
    <t>liczba operacji polegająca na stworzeniu usług agroturystycznych</t>
  </si>
  <si>
    <t>Łączenie obszarów wiejskich w Europie: odsetek ludności wiejskiej korzystającej z lepszego dostępu do usług i infrastruktury dzięki wsparciu z WPR (liczba osób)</t>
  </si>
  <si>
    <t>obecne wykorzystanie (dedykowane tylko JST)</t>
  </si>
  <si>
    <t>obecnie wykorzystane z możliwością wsparcia dla JST</t>
  </si>
  <si>
    <t>1.3.: Podejmowanie lub rozwój działalności w zakresie usług prozdrowotnych i aktywnych form spędzania wolnego czasu</t>
  </si>
  <si>
    <t>1.4. Podejmowanie lub rozwój działalności opartych o produkty lokalne</t>
  </si>
  <si>
    <t>grant</t>
  </si>
  <si>
    <t xml:space="preserve">konkurs </t>
  </si>
  <si>
    <t>Liczba operacji polegających na rozwoju lub stworzeniu przedsiębiorstwa</t>
  </si>
  <si>
    <t xml:space="preserve">Liczba obiektów dostosowanych do potrzeb osób z niepełnosprawnościami (sztuki) </t>
  </si>
  <si>
    <t>Liczba osób odwiedzająca obiekty kulturalne i turystyczne objęte wsparciem (osoby odwiedzające/rok)</t>
  </si>
  <si>
    <t>3.4. Kreowanie miejsc przyjaznych młodzieży przy jej współudziale</t>
  </si>
  <si>
    <t>2.2. Tworzenie magazynów energii</t>
  </si>
  <si>
    <t>2.4. Tworzenie strategii Smart Village</t>
  </si>
  <si>
    <t>2.5. Rozwijanie infrastruktury turystycznej w zakresie kąpielisk i carvaningu</t>
  </si>
  <si>
    <t>Liczba operacji nastawiona innowacje</t>
  </si>
  <si>
    <t>rolnicy z małych gopodarstw i ich rodziny</t>
  </si>
  <si>
    <t>Liczba obieków objętych przedsięwzięciem obsługujące osoby w szczególnej sytuacji</t>
  </si>
  <si>
    <t>Liczba operacji polegających na włączeniu społecznym lub cyfrowym seniorów</t>
  </si>
  <si>
    <t>Liczba operacji polegających na włączeniu społecznym lub cyfrowym młodzieży</t>
  </si>
  <si>
    <t>3.3. Tworzenie i rozwój klubów seniora</t>
  </si>
  <si>
    <t>3.6. Edukacja społeczna osób młodych i wymiana kulturowa</t>
  </si>
  <si>
    <t>projekt partnerski</t>
  </si>
  <si>
    <t>podmioty publiczne</t>
  </si>
  <si>
    <t>3.1. Rozwój infrastruktury wsparcia dla grup w niekorzystnej sytuacji</t>
  </si>
  <si>
    <t>3.2. Rozwój usług społecznych</t>
  </si>
  <si>
    <t>roczna liczba użytkowników nowych lub zmodernizowanych obiektach, w których realizowane będą usługi społeczne (użytkownicy/rok)</t>
  </si>
  <si>
    <t>Liczba operacji polegających na włączeniu społecznym lub cyfrowym  młodzieży</t>
  </si>
  <si>
    <t xml:space="preserve">1.2. Rozwój infrastruktury publicznej i jej funkcji społecznych i ekologicznych </t>
  </si>
  <si>
    <t>Liczba stworzonych lub rozwiniętych obiektów infrastruktury publicznej</t>
  </si>
  <si>
    <t>1.5. Tworzenie i rozwój agroturystyki w zakresie usług kwaterunkowych i wykorzystania lokalnych zasobów</t>
  </si>
  <si>
    <t>organizacje pozarządowe/LGD</t>
  </si>
  <si>
    <t>organizacje pozarządowe</t>
  </si>
  <si>
    <t>organizacje pozarządowe / podmioty publiczne</t>
  </si>
  <si>
    <t>Liczba operacji poprawiających dostęp do usług lub infrastruktury seniorom, osobom młodym lub osobom w niekorzystnej sytuacji</t>
  </si>
  <si>
    <t>Liczba operacji polegających na włączeniu społecznym lub cyfrowym seniorów, osób młodych lub w niekorzystnej sytuacji</t>
  </si>
  <si>
    <t>Liczba operacji poprawiających dostęp do usług lub infrastruktury seniorom lub osobom w niekorzystnej sytuacji</t>
  </si>
  <si>
    <t>Liczba operacji włączająca społecznie lub cyfrowo seniorów, osoby młode lub osoby w niekorzystnej sytuacji</t>
  </si>
  <si>
    <t>Liczba operacji poprawiających dostęp do usług lub infrastruktury osobom młodym lub osobom w niekorzystnej sytuacji</t>
  </si>
  <si>
    <t>150 tyś x 2 + 500 tyś. x 2</t>
  </si>
  <si>
    <t>150 tyś. x 4 + 500 tyś. x 4</t>
  </si>
  <si>
    <t>150 tyś. x 1, 300 tyś. x 2</t>
  </si>
  <si>
    <t xml:space="preserve">Liczba projektów partnerskich </t>
  </si>
  <si>
    <t>Liczba miejsc świadczenia usług w społeczności lokalnej objetych wsparciem (sztuki)</t>
  </si>
  <si>
    <t>2.1. Park inteligentnych rozwiązań</t>
  </si>
  <si>
    <t>Liczba projektów w partnerstwie</t>
  </si>
  <si>
    <t>1.6. Tworzenie i rozwój przestrzeni edukacyjnych</t>
  </si>
  <si>
    <t>podmioty publiczne/ organziacje pozarządowe</t>
  </si>
  <si>
    <t xml:space="preserve">2.3. Podejmowanie lub rozwój działalności w zakresie  nowych technologii </t>
  </si>
  <si>
    <t>liczba obiektów służących edukacji</t>
  </si>
  <si>
    <t>Liczba obiektów służących edukacji</t>
  </si>
  <si>
    <t>Poprawa realizacji celów dzięki wiedzy i innowacjom: liczba osób korzystających z działań edukacyjnych nt. zrównoważonej efektywności w zakresie gospodarowania zasobami</t>
  </si>
  <si>
    <t xml:space="preserve">bioróżnorodność </t>
  </si>
  <si>
    <t>150 tyś (podejmowanie) + 175 tyś. (rozwój)</t>
  </si>
  <si>
    <t>Liczba osób korzystająca z obiektów, na których zamontowano magazyny energii</t>
  </si>
  <si>
    <t xml:space="preserve">Liczba zatrudnionych osób młodych lub w niekorzystnej sytuacji (włączając samozatrudnienie): </t>
  </si>
  <si>
    <t xml:space="preserve">Liczba przedsiębiorstw rolnych, w tym przedsiębiorstw zajmujących się biogospodarką, rozwiniętych dzięki wsparciu w ramach WPR </t>
  </si>
  <si>
    <t> Ludność objęta projektami w ramach strategii zintegrowanego rozwoju terytorialnego</t>
  </si>
  <si>
    <t>Ludność mająca dostęp do obszaru chronionego objętego wsparciem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</si>
</sst>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6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trike/>
      <sz val="9"/>
      <color rgb="FF00B05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76">
    <xf numFmtId="0" fontId="0" fillId="0" borderId="0" xfId="0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2" borderId="3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4" fontId="8" fillId="8" borderId="6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12" fillId="0" borderId="11" xfId="1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4" fontId="13" fillId="0" borderId="0" xfId="0" applyNumberFormat="1" applyFont="1"/>
    <xf numFmtId="9" fontId="13" fillId="0" borderId="0" xfId="0" applyNumberFormat="1" applyFont="1"/>
    <xf numFmtId="4" fontId="3" fillId="0" borderId="0" xfId="0" applyNumberFormat="1" applyFont="1"/>
    <xf numFmtId="0" fontId="11" fillId="0" borderId="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3" fontId="11" fillId="9" borderId="1" xfId="0" applyNumberFormat="1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1" fontId="12" fillId="9" borderId="7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horizontal="center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9" borderId="6" xfId="0" applyNumberFormat="1" applyFont="1" applyFill="1" applyBorder="1" applyAlignment="1">
      <alignment horizontal="center" vertical="center" wrapText="1"/>
    </xf>
    <xf numFmtId="4" fontId="5" fillId="9" borderId="7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5" fillId="9" borderId="5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topLeftCell="A28" workbookViewId="0">
      <selection activeCell="J32" sqref="J32:K32"/>
    </sheetView>
  </sheetViews>
  <sheetFormatPr defaultRowHeight="14.4" x14ac:dyDescent="0.3"/>
  <cols>
    <col min="1" max="1" width="22.77734375" customWidth="1"/>
    <col min="2" max="2" width="8.109375" customWidth="1"/>
    <col min="3" max="3" width="10.88671875" customWidth="1"/>
    <col min="4" max="4" width="12.77734375" customWidth="1"/>
    <col min="5" max="5" width="11.6640625" customWidth="1"/>
    <col min="6" max="6" width="9.77734375" customWidth="1"/>
    <col min="7" max="7" width="9.6640625" customWidth="1"/>
    <col min="8" max="9" width="9.5546875" customWidth="1"/>
    <col min="10" max="10" width="44.6640625" customWidth="1"/>
    <col min="11" max="11" width="8.88671875" customWidth="1"/>
    <col min="12" max="12" width="41.21875" customWidth="1"/>
    <col min="14" max="14" width="17.77734375" customWidth="1"/>
  </cols>
  <sheetData>
    <row r="1" spans="1:13" ht="44.4" customHeight="1" x14ac:dyDescent="0.3">
      <c r="A1" s="2" t="s">
        <v>1</v>
      </c>
      <c r="B1" s="2" t="s">
        <v>2</v>
      </c>
      <c r="C1" s="2" t="s">
        <v>3</v>
      </c>
      <c r="D1" s="2" t="s">
        <v>4</v>
      </c>
      <c r="E1" s="2" t="s">
        <v>14</v>
      </c>
      <c r="F1" s="2" t="s">
        <v>15</v>
      </c>
      <c r="G1" s="2" t="s">
        <v>5</v>
      </c>
      <c r="H1" s="2" t="s">
        <v>5</v>
      </c>
      <c r="I1" s="2" t="s">
        <v>48</v>
      </c>
      <c r="J1" s="6" t="s">
        <v>16</v>
      </c>
      <c r="K1" s="6" t="s">
        <v>23</v>
      </c>
      <c r="L1" s="5" t="s">
        <v>17</v>
      </c>
      <c r="M1" s="6" t="s">
        <v>23</v>
      </c>
    </row>
    <row r="2" spans="1:13" x14ac:dyDescent="0.3">
      <c r="A2" s="149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3" ht="32.4" customHeight="1" x14ac:dyDescent="0.3">
      <c r="A3" s="68" t="s">
        <v>104</v>
      </c>
      <c r="B3" s="69" t="s">
        <v>11</v>
      </c>
      <c r="C3" s="69" t="s">
        <v>7</v>
      </c>
      <c r="D3" s="69" t="s">
        <v>75</v>
      </c>
      <c r="E3" s="70">
        <v>294170.14</v>
      </c>
      <c r="F3" s="70">
        <v>1353182.6439999999</v>
      </c>
      <c r="G3" s="70">
        <f>E3</f>
        <v>294170.14</v>
      </c>
      <c r="H3" s="70">
        <f>F3</f>
        <v>1353182.6439999999</v>
      </c>
      <c r="I3" s="70">
        <v>85</v>
      </c>
      <c r="J3" s="60" t="s">
        <v>109</v>
      </c>
      <c r="K3" s="56">
        <v>300</v>
      </c>
      <c r="L3" s="64" t="s">
        <v>110</v>
      </c>
      <c r="M3" s="64">
        <v>300</v>
      </c>
    </row>
    <row r="4" spans="1:13" ht="32.4" customHeight="1" x14ac:dyDescent="0.3">
      <c r="A4" s="125" t="s">
        <v>80</v>
      </c>
      <c r="B4" s="125" t="s">
        <v>6</v>
      </c>
      <c r="C4" s="125" t="s">
        <v>7</v>
      </c>
      <c r="D4" s="125" t="str">
        <f>D3</f>
        <v>podmioty publiczne</v>
      </c>
      <c r="E4" s="117">
        <f>552000-11000+10869.21</f>
        <v>551869.21</v>
      </c>
      <c r="F4" s="79">
        <f>E4*4.6</f>
        <v>2538598.3659999995</v>
      </c>
      <c r="G4" s="79">
        <f>E4/7</f>
        <v>78838.458571428564</v>
      </c>
      <c r="H4" s="79">
        <f>F4/7</f>
        <v>362656.90942857135</v>
      </c>
      <c r="I4" s="79">
        <v>75</v>
      </c>
      <c r="J4" s="33" t="s">
        <v>81</v>
      </c>
      <c r="K4" s="33">
        <v>7</v>
      </c>
      <c r="L4" s="96" t="s">
        <v>53</v>
      </c>
      <c r="M4" s="107">
        <f>7*100</f>
        <v>700</v>
      </c>
    </row>
    <row r="5" spans="1:13" ht="43.2" customHeight="1" x14ac:dyDescent="0.3">
      <c r="A5" s="126"/>
      <c r="B5" s="126"/>
      <c r="C5" s="126"/>
      <c r="D5" s="126"/>
      <c r="E5" s="158"/>
      <c r="F5" s="80"/>
      <c r="G5" s="80"/>
      <c r="H5" s="80"/>
      <c r="I5" s="80"/>
      <c r="J5" s="33" t="s">
        <v>86</v>
      </c>
      <c r="K5" s="33">
        <v>4</v>
      </c>
      <c r="L5" s="110"/>
      <c r="M5" s="108"/>
    </row>
    <row r="6" spans="1:13" ht="32.4" customHeight="1" x14ac:dyDescent="0.3">
      <c r="A6" s="126"/>
      <c r="B6" s="126"/>
      <c r="C6" s="126"/>
      <c r="D6" s="126"/>
      <c r="E6" s="158"/>
      <c r="F6" s="80"/>
      <c r="G6" s="80"/>
      <c r="H6" s="80"/>
      <c r="I6" s="80"/>
      <c r="J6" s="33" t="s">
        <v>87</v>
      </c>
      <c r="K6" s="33">
        <v>4</v>
      </c>
      <c r="L6" s="110"/>
      <c r="M6" s="108"/>
    </row>
    <row r="7" spans="1:13" x14ac:dyDescent="0.3">
      <c r="A7" s="126"/>
      <c r="B7" s="126"/>
      <c r="C7" s="126"/>
      <c r="D7" s="126"/>
      <c r="E7" s="158"/>
      <c r="F7" s="80"/>
      <c r="G7" s="80"/>
      <c r="H7" s="80"/>
      <c r="I7" s="80"/>
      <c r="J7" s="33" t="s">
        <v>67</v>
      </c>
      <c r="K7" s="33">
        <v>3</v>
      </c>
      <c r="L7" s="97"/>
      <c r="M7" s="109"/>
    </row>
    <row r="8" spans="1:13" ht="34.799999999999997" customHeight="1" x14ac:dyDescent="0.3">
      <c r="A8" s="114" t="s">
        <v>56</v>
      </c>
      <c r="B8" s="114" t="s">
        <v>6</v>
      </c>
      <c r="C8" s="114" t="s">
        <v>7</v>
      </c>
      <c r="D8" s="125" t="s">
        <v>8</v>
      </c>
      <c r="E8" s="79">
        <v>553478</v>
      </c>
      <c r="F8" s="79">
        <f>E8*4.6</f>
        <v>2545998.7999999998</v>
      </c>
      <c r="G8" s="79">
        <f>500000/4.6</f>
        <v>108695.65217391305</v>
      </c>
      <c r="H8" s="79" t="s">
        <v>92</v>
      </c>
      <c r="I8" s="79">
        <v>65</v>
      </c>
      <c r="J8" s="38" t="s">
        <v>60</v>
      </c>
      <c r="K8" s="58">
        <v>8</v>
      </c>
      <c r="L8" s="75" t="s">
        <v>37</v>
      </c>
      <c r="M8" s="101">
        <v>8</v>
      </c>
    </row>
    <row r="9" spans="1:13" ht="36" customHeight="1" x14ac:dyDescent="0.3">
      <c r="A9" s="128"/>
      <c r="B9" s="128"/>
      <c r="C9" s="128"/>
      <c r="D9" s="126"/>
      <c r="E9" s="80"/>
      <c r="F9" s="80"/>
      <c r="G9" s="80"/>
      <c r="H9" s="80"/>
      <c r="I9" s="80"/>
      <c r="J9" s="38" t="s">
        <v>88</v>
      </c>
      <c r="K9" s="58">
        <v>6</v>
      </c>
      <c r="L9" s="157"/>
      <c r="M9" s="101"/>
    </row>
    <row r="10" spans="1:13" ht="40.200000000000003" customHeight="1" x14ac:dyDescent="0.3">
      <c r="A10" s="128"/>
      <c r="B10" s="128"/>
      <c r="C10" s="128"/>
      <c r="D10" s="126"/>
      <c r="E10" s="80"/>
      <c r="F10" s="80"/>
      <c r="G10" s="80"/>
      <c r="H10" s="80"/>
      <c r="I10" s="80"/>
      <c r="J10" s="34" t="s">
        <v>25</v>
      </c>
      <c r="K10" s="58">
        <v>4</v>
      </c>
      <c r="L10" s="55" t="s">
        <v>107</v>
      </c>
      <c r="M10" s="57">
        <v>4</v>
      </c>
    </row>
    <row r="11" spans="1:13" ht="31.8" customHeight="1" x14ac:dyDescent="0.3">
      <c r="A11" s="114" t="s">
        <v>57</v>
      </c>
      <c r="B11" s="114" t="s">
        <v>6</v>
      </c>
      <c r="C11" s="114" t="s">
        <v>7</v>
      </c>
      <c r="D11" s="114" t="s">
        <v>8</v>
      </c>
      <c r="E11" s="112">
        <v>292174</v>
      </c>
      <c r="F11" s="112">
        <f>E11*4.6</f>
        <v>1344000.4</v>
      </c>
      <c r="G11" s="112"/>
      <c r="H11" s="79" t="s">
        <v>91</v>
      </c>
      <c r="I11" s="112">
        <v>65</v>
      </c>
      <c r="J11" s="34" t="str">
        <f>J8</f>
        <v>Liczba operacji polegających na rozwoju lub stworzeniu przedsiębiorstwa</v>
      </c>
      <c r="K11" s="58">
        <v>4</v>
      </c>
      <c r="L11" s="102" t="str">
        <f>L8</f>
        <v>Wzrost gospodarczy i zatrudnienie na obszarach wiejskich: nowe miejsca pracy objęte wsparciem w ramach projektów WPR (liczba utworzonych miejsc pracy w przeliczeniu na etaty średnioroczne)</v>
      </c>
      <c r="M11" s="103">
        <v>4</v>
      </c>
    </row>
    <row r="12" spans="1:13" ht="38.4" customHeight="1" x14ac:dyDescent="0.3">
      <c r="A12" s="128"/>
      <c r="B12" s="128"/>
      <c r="C12" s="128"/>
      <c r="D12" s="128"/>
      <c r="E12" s="113"/>
      <c r="F12" s="113"/>
      <c r="G12" s="113"/>
      <c r="H12" s="80"/>
      <c r="I12" s="113"/>
      <c r="J12" s="34" t="str">
        <f>J9</f>
        <v>Liczba operacji poprawiających dostęp do usług lub infrastruktury seniorom lub osobom w niekorzystnej sytuacji</v>
      </c>
      <c r="K12" s="58">
        <v>2</v>
      </c>
      <c r="L12" s="102"/>
      <c r="M12" s="104"/>
    </row>
    <row r="13" spans="1:13" ht="36" customHeight="1" x14ac:dyDescent="0.3">
      <c r="A13" s="128"/>
      <c r="B13" s="128"/>
      <c r="C13" s="128"/>
      <c r="D13" s="128"/>
      <c r="E13" s="113"/>
      <c r="F13" s="113"/>
      <c r="G13" s="113"/>
      <c r="H13" s="80"/>
      <c r="I13" s="113"/>
      <c r="J13" s="34" t="str">
        <f>J10</f>
        <v>Liczba operacji nastawiona na innowacje</v>
      </c>
      <c r="K13" s="58">
        <v>2</v>
      </c>
      <c r="L13" s="53" t="str">
        <f>L10</f>
        <v xml:space="preserve">Liczba zatrudnionych osób młodych lub w niekorzystnej sytuacji (włączając samozatrudnienie): </v>
      </c>
      <c r="M13" s="47">
        <v>2</v>
      </c>
    </row>
    <row r="14" spans="1:13" ht="52.2" customHeight="1" x14ac:dyDescent="0.3">
      <c r="A14" s="114" t="s">
        <v>82</v>
      </c>
      <c r="B14" s="114" t="s">
        <v>6</v>
      </c>
      <c r="C14" s="114" t="s">
        <v>7</v>
      </c>
      <c r="D14" s="114" t="s">
        <v>68</v>
      </c>
      <c r="E14" s="112">
        <v>163044</v>
      </c>
      <c r="F14" s="117">
        <f>E14*4.6</f>
        <v>750002.39999999991</v>
      </c>
      <c r="G14" s="112">
        <f>300000/4.6</f>
        <v>65217.391304347831</v>
      </c>
      <c r="H14" s="117" t="s">
        <v>93</v>
      </c>
      <c r="I14" s="87">
        <v>85</v>
      </c>
      <c r="J14" s="34" t="s">
        <v>52</v>
      </c>
      <c r="K14" s="58">
        <v>3</v>
      </c>
      <c r="L14" s="75" t="s">
        <v>108</v>
      </c>
      <c r="M14" s="77">
        <v>3</v>
      </c>
    </row>
    <row r="15" spans="1:13" ht="36.6" customHeight="1" x14ac:dyDescent="0.3">
      <c r="A15" s="115"/>
      <c r="B15" s="115"/>
      <c r="C15" s="115"/>
      <c r="D15" s="115"/>
      <c r="E15" s="116"/>
      <c r="F15" s="118"/>
      <c r="G15" s="116"/>
      <c r="H15" s="118"/>
      <c r="I15" s="89"/>
      <c r="J15" s="34" t="str">
        <f>J12</f>
        <v>Liczba operacji poprawiających dostęp do usług lub infrastruktury seniorom lub osobom w niekorzystnej sytuacji</v>
      </c>
      <c r="K15" s="58">
        <v>3</v>
      </c>
      <c r="L15" s="76"/>
      <c r="M15" s="78"/>
    </row>
    <row r="16" spans="1:13" ht="36.6" customHeight="1" x14ac:dyDescent="0.3">
      <c r="A16" s="114" t="s">
        <v>98</v>
      </c>
      <c r="B16" s="114" t="s">
        <v>6</v>
      </c>
      <c r="C16" s="114" t="s">
        <v>7</v>
      </c>
      <c r="D16" s="114" t="s">
        <v>84</v>
      </c>
      <c r="E16" s="112">
        <v>86000</v>
      </c>
      <c r="F16" s="112">
        <f>E16*4.6</f>
        <v>395599.99999999994</v>
      </c>
      <c r="G16" s="112">
        <f>E16/6</f>
        <v>14333.333333333334</v>
      </c>
      <c r="H16" s="87">
        <f>F16/6</f>
        <v>65933.333333333328</v>
      </c>
      <c r="I16" s="87">
        <v>100</v>
      </c>
      <c r="J16" s="66" t="s">
        <v>102</v>
      </c>
      <c r="K16" s="35">
        <v>6</v>
      </c>
      <c r="L16" s="75" t="str">
        <f>L4</f>
        <v>Łączenie obszarów wiejskich w Europie: odsetek ludności wiejskiej korzystającej z lepszego dostępu do usług i infrastruktury dzięki wsparciu z WPR (liczba osób)</v>
      </c>
      <c r="M16" s="105">
        <f>6*20</f>
        <v>120</v>
      </c>
    </row>
    <row r="17" spans="1:13" ht="36.6" customHeight="1" x14ac:dyDescent="0.3">
      <c r="A17" s="128"/>
      <c r="B17" s="128"/>
      <c r="C17" s="128"/>
      <c r="D17" s="128"/>
      <c r="E17" s="113"/>
      <c r="F17" s="113"/>
      <c r="G17" s="113"/>
      <c r="H17" s="88"/>
      <c r="I17" s="88"/>
      <c r="J17" s="34" t="str">
        <f>J12</f>
        <v>Liczba operacji poprawiających dostęp do usług lub infrastruktury seniorom lub osobom w niekorzystnej sytuacji</v>
      </c>
      <c r="K17" s="35">
        <v>4</v>
      </c>
      <c r="L17" s="76"/>
      <c r="M17" s="106"/>
    </row>
    <row r="18" spans="1:13" ht="46.8" customHeight="1" x14ac:dyDescent="0.3">
      <c r="A18" s="115"/>
      <c r="B18" s="115"/>
      <c r="C18" s="115"/>
      <c r="D18" s="115"/>
      <c r="E18" s="116"/>
      <c r="F18" s="116"/>
      <c r="G18" s="116"/>
      <c r="H18" s="89"/>
      <c r="I18" s="89"/>
      <c r="J18" s="38" t="str">
        <f>J13</f>
        <v>Liczba operacji nastawiona na innowacje</v>
      </c>
      <c r="K18" s="50">
        <v>3</v>
      </c>
      <c r="L18" s="39" t="s">
        <v>103</v>
      </c>
      <c r="M18" s="37">
        <f>6*20</f>
        <v>120</v>
      </c>
    </row>
    <row r="19" spans="1:13" ht="15.6" customHeight="1" x14ac:dyDescent="0.3">
      <c r="A19" s="159" t="s">
        <v>26</v>
      </c>
      <c r="B19" s="159"/>
      <c r="C19" s="159"/>
      <c r="D19" s="159"/>
      <c r="E19" s="20">
        <f>SUM(E4:E16)</f>
        <v>1646565.21</v>
      </c>
      <c r="F19" s="20">
        <f>SUM(F4:F16)</f>
        <v>7574199.966</v>
      </c>
      <c r="G19" s="10"/>
      <c r="H19" s="11"/>
      <c r="I19" s="11"/>
      <c r="J19" s="8"/>
      <c r="K19" s="12"/>
      <c r="L19" s="13"/>
      <c r="M19" s="14"/>
    </row>
    <row r="20" spans="1:13" ht="15.6" customHeight="1" x14ac:dyDescent="0.3">
      <c r="A20" s="119" t="s">
        <v>41</v>
      </c>
      <c r="B20" s="120"/>
      <c r="C20" s="120"/>
      <c r="D20" s="121"/>
      <c r="E20" s="19" t="e">
        <f>SUM(#REF!)</f>
        <v>#REF!</v>
      </c>
      <c r="F20" s="19" t="e">
        <f>SUM(#REF!)</f>
        <v>#REF!</v>
      </c>
      <c r="G20" s="10"/>
      <c r="H20" s="11"/>
      <c r="I20" s="11"/>
      <c r="J20" s="8"/>
      <c r="K20" s="12"/>
      <c r="L20" s="13"/>
      <c r="M20" s="14"/>
    </row>
    <row r="21" spans="1:13" ht="15.6" customHeight="1" x14ac:dyDescent="0.3">
      <c r="A21" s="155" t="s">
        <v>33</v>
      </c>
      <c r="B21" s="156"/>
      <c r="C21" s="156"/>
      <c r="D21" s="156"/>
      <c r="E21" s="27" t="e">
        <f>SUM(E19:E20)</f>
        <v>#REF!</v>
      </c>
      <c r="F21" s="27" t="e">
        <f>SUM(F19:F20)</f>
        <v>#REF!</v>
      </c>
      <c r="G21" s="10"/>
      <c r="H21" s="11"/>
      <c r="I21" s="11"/>
      <c r="J21" s="8"/>
      <c r="K21" s="12"/>
      <c r="L21" s="13"/>
      <c r="M21" s="14"/>
    </row>
    <row r="22" spans="1:13" x14ac:dyDescent="0.3">
      <c r="A22" s="152" t="s">
        <v>9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/>
    </row>
    <row r="23" spans="1:13" ht="84" customHeight="1" x14ac:dyDescent="0.3">
      <c r="A23" s="122" t="s">
        <v>96</v>
      </c>
      <c r="B23" s="125" t="s">
        <v>6</v>
      </c>
      <c r="C23" s="125" t="s">
        <v>12</v>
      </c>
      <c r="D23" s="125" t="s">
        <v>83</v>
      </c>
      <c r="E23" s="79">
        <v>50000</v>
      </c>
      <c r="F23" s="79">
        <f>E23*4.65</f>
        <v>232500.00000000003</v>
      </c>
      <c r="G23" s="79">
        <v>45000</v>
      </c>
      <c r="H23" s="79">
        <f>F23</f>
        <v>232500.00000000003</v>
      </c>
      <c r="I23" s="79">
        <v>100</v>
      </c>
      <c r="J23" s="67" t="s">
        <v>101</v>
      </c>
      <c r="K23" s="33">
        <v>1</v>
      </c>
      <c r="L23" s="65" t="s">
        <v>103</v>
      </c>
      <c r="M23" s="36">
        <v>40</v>
      </c>
    </row>
    <row r="24" spans="1:13" ht="37.799999999999997" customHeight="1" x14ac:dyDescent="0.3">
      <c r="A24" s="123"/>
      <c r="B24" s="126"/>
      <c r="C24" s="126"/>
      <c r="D24" s="126"/>
      <c r="E24" s="80"/>
      <c r="F24" s="80"/>
      <c r="G24" s="80"/>
      <c r="H24" s="80"/>
      <c r="I24" s="80"/>
      <c r="J24" s="54" t="str">
        <f>J9</f>
        <v>Liczba operacji poprawiających dostęp do usług lub infrastruktury seniorom lub osobom w niekorzystnej sytuacji</v>
      </c>
      <c r="K24" s="33">
        <v>1</v>
      </c>
      <c r="L24" s="81" t="s">
        <v>53</v>
      </c>
      <c r="M24" s="96">
        <v>40</v>
      </c>
    </row>
    <row r="25" spans="1:13" ht="24" customHeight="1" x14ac:dyDescent="0.3">
      <c r="A25" s="124"/>
      <c r="B25" s="127"/>
      <c r="C25" s="127"/>
      <c r="D25" s="127"/>
      <c r="E25" s="83"/>
      <c r="F25" s="83"/>
      <c r="G25" s="83"/>
      <c r="H25" s="83"/>
      <c r="I25" s="83"/>
      <c r="J25" s="38" t="str">
        <f>J13</f>
        <v>Liczba operacji nastawiona na innowacje</v>
      </c>
      <c r="K25" s="33">
        <v>1</v>
      </c>
      <c r="L25" s="82"/>
      <c r="M25" s="97"/>
    </row>
    <row r="26" spans="1:13" ht="23.4" customHeight="1" x14ac:dyDescent="0.3">
      <c r="A26" s="125" t="s">
        <v>64</v>
      </c>
      <c r="B26" s="125" t="s">
        <v>11</v>
      </c>
      <c r="C26" s="125" t="s">
        <v>10</v>
      </c>
      <c r="D26" s="125" t="s">
        <v>99</v>
      </c>
      <c r="E26" s="79">
        <v>618988.26</v>
      </c>
      <c r="F26" s="79">
        <f>E26*4.65</f>
        <v>2878295.4090000005</v>
      </c>
      <c r="G26" s="79">
        <f>E26/7</f>
        <v>88426.894285714283</v>
      </c>
      <c r="H26" s="79">
        <f>F26/7</f>
        <v>411185.0584285715</v>
      </c>
      <c r="I26" s="79">
        <v>85</v>
      </c>
      <c r="J26" s="62" t="s">
        <v>18</v>
      </c>
      <c r="K26" s="63"/>
      <c r="L26" s="173" t="s">
        <v>106</v>
      </c>
      <c r="M26" s="96">
        <v>300</v>
      </c>
    </row>
    <row r="27" spans="1:13" ht="23.4" customHeight="1" x14ac:dyDescent="0.3">
      <c r="A27" s="126"/>
      <c r="B27" s="126"/>
      <c r="C27" s="126"/>
      <c r="D27" s="126"/>
      <c r="E27" s="80"/>
      <c r="F27" s="80"/>
      <c r="G27" s="80"/>
      <c r="H27" s="80"/>
      <c r="I27" s="80"/>
      <c r="J27" s="169" t="s">
        <v>69</v>
      </c>
      <c r="K27" s="171">
        <v>7</v>
      </c>
      <c r="L27" s="174"/>
      <c r="M27" s="110"/>
    </row>
    <row r="28" spans="1:13" ht="28.8" customHeight="1" x14ac:dyDescent="0.3">
      <c r="A28" s="126"/>
      <c r="B28" s="126"/>
      <c r="C28" s="126"/>
      <c r="D28" s="126"/>
      <c r="E28" s="80"/>
      <c r="F28" s="80"/>
      <c r="G28" s="80"/>
      <c r="H28" s="80"/>
      <c r="I28" s="80"/>
      <c r="J28" s="170"/>
      <c r="K28" s="172"/>
      <c r="L28" s="174"/>
      <c r="M28" s="110"/>
    </row>
    <row r="29" spans="1:13" ht="50.4" customHeight="1" x14ac:dyDescent="0.3">
      <c r="A29" s="125" t="s">
        <v>100</v>
      </c>
      <c r="B29" s="125" t="s">
        <v>6</v>
      </c>
      <c r="C29" s="125" t="s">
        <v>51</v>
      </c>
      <c r="D29" s="125" t="s">
        <v>50</v>
      </c>
      <c r="E29" s="79">
        <v>70000</v>
      </c>
      <c r="F29" s="79">
        <f>E29*4.65</f>
        <v>325500</v>
      </c>
      <c r="G29" s="79">
        <f>E29/3</f>
        <v>23333.333333333332</v>
      </c>
      <c r="H29" s="79" t="s">
        <v>105</v>
      </c>
      <c r="I29" s="79">
        <v>65</v>
      </c>
      <c r="J29" s="38" t="str">
        <f>J8</f>
        <v>Liczba operacji polegających na rozwoju lub stworzeniu przedsiębiorstwa</v>
      </c>
      <c r="K29" s="59">
        <v>2</v>
      </c>
      <c r="L29" s="39" t="str">
        <f>L8</f>
        <v>Wzrost gospodarczy i zatrudnienie na obszarach wiejskich: nowe miejsca pracy objęte wsparciem w ramach projektów WPR (liczba utworzonych miejsc pracy w przeliczeniu na etaty średnioroczne)</v>
      </c>
      <c r="M29" s="36">
        <v>2</v>
      </c>
    </row>
    <row r="30" spans="1:13" ht="36" customHeight="1" x14ac:dyDescent="0.3">
      <c r="A30" s="126"/>
      <c r="B30" s="126"/>
      <c r="C30" s="126"/>
      <c r="D30" s="126"/>
      <c r="E30" s="80"/>
      <c r="F30" s="80"/>
      <c r="G30" s="80"/>
      <c r="H30" s="80"/>
      <c r="I30" s="83"/>
      <c r="J30" s="38" t="str">
        <f>J10</f>
        <v>Liczba operacji nastawiona na innowacje</v>
      </c>
      <c r="K30" s="59">
        <v>2</v>
      </c>
      <c r="L30" s="52" t="str">
        <f>L13</f>
        <v xml:space="preserve">Liczba zatrudnionych osób młodych lub w niekorzystnej sytuacji (włączając samozatrudnienie): </v>
      </c>
      <c r="M30" s="51">
        <v>1</v>
      </c>
    </row>
    <row r="31" spans="1:13" ht="27" customHeight="1" x14ac:dyDescent="0.3">
      <c r="A31" s="125" t="s">
        <v>65</v>
      </c>
      <c r="B31" s="125" t="s">
        <v>6</v>
      </c>
      <c r="C31" s="125" t="s">
        <v>10</v>
      </c>
      <c r="D31" s="125" t="s">
        <v>84</v>
      </c>
      <c r="E31" s="79">
        <f>4000*6/4.65</f>
        <v>5161.2903225806449</v>
      </c>
      <c r="F31" s="79">
        <f>E31*4.65</f>
        <v>24000</v>
      </c>
      <c r="G31" s="79">
        <f>E31/6</f>
        <v>860.21505376344078</v>
      </c>
      <c r="H31" s="87">
        <f>F31/6</f>
        <v>4000</v>
      </c>
      <c r="I31" s="87">
        <v>100</v>
      </c>
      <c r="J31" s="40" t="s">
        <v>42</v>
      </c>
      <c r="K31" s="61">
        <v>6</v>
      </c>
      <c r="L31" s="90" t="s">
        <v>40</v>
      </c>
      <c r="M31" s="98">
        <v>6</v>
      </c>
    </row>
    <row r="32" spans="1:13" ht="27" customHeight="1" x14ac:dyDescent="0.3">
      <c r="A32" s="126"/>
      <c r="B32" s="126"/>
      <c r="C32" s="126"/>
      <c r="D32" s="126"/>
      <c r="E32" s="80"/>
      <c r="F32" s="80"/>
      <c r="G32" s="80"/>
      <c r="H32" s="88"/>
      <c r="I32" s="88"/>
      <c r="J32" s="71" t="s">
        <v>25</v>
      </c>
      <c r="K32" s="72">
        <v>6</v>
      </c>
      <c r="L32" s="84"/>
      <c r="M32" s="99"/>
    </row>
    <row r="33" spans="1:13" ht="27" customHeight="1" x14ac:dyDescent="0.3">
      <c r="A33" s="127"/>
      <c r="B33" s="127"/>
      <c r="C33" s="127"/>
      <c r="D33" s="127"/>
      <c r="E33" s="83"/>
      <c r="F33" s="83"/>
      <c r="G33" s="83"/>
      <c r="H33" s="89"/>
      <c r="I33" s="89"/>
      <c r="J33" s="40" t="s">
        <v>89</v>
      </c>
      <c r="K33" s="61">
        <v>3</v>
      </c>
      <c r="L33" s="85"/>
      <c r="M33" s="100"/>
    </row>
    <row r="34" spans="1:13" ht="27" customHeight="1" x14ac:dyDescent="0.3">
      <c r="A34" s="160" t="s">
        <v>66</v>
      </c>
      <c r="B34" s="160" t="s">
        <v>11</v>
      </c>
      <c r="C34" s="160" t="s">
        <v>7</v>
      </c>
      <c r="D34" s="160" t="e">
        <f>#REF!</f>
        <v>#REF!</v>
      </c>
      <c r="E34" s="95">
        <v>618988.26</v>
      </c>
      <c r="F34" s="95">
        <f>E34*4.65</f>
        <v>2878295.4090000005</v>
      </c>
      <c r="G34" s="95">
        <f>H34/4.6</f>
        <v>104286.0655434783</v>
      </c>
      <c r="H34" s="175">
        <f>F34/6</f>
        <v>479715.90150000009</v>
      </c>
      <c r="I34" s="129">
        <v>85</v>
      </c>
      <c r="J34" s="42" t="s">
        <v>24</v>
      </c>
      <c r="K34" s="42">
        <v>6</v>
      </c>
      <c r="L34" s="90" t="s">
        <v>62</v>
      </c>
      <c r="M34" s="73">
        <f>6*150</f>
        <v>900</v>
      </c>
    </row>
    <row r="35" spans="1:13" ht="27" customHeight="1" x14ac:dyDescent="0.3">
      <c r="A35" s="160"/>
      <c r="B35" s="160"/>
      <c r="C35" s="160"/>
      <c r="D35" s="160"/>
      <c r="E35" s="95"/>
      <c r="F35" s="95"/>
      <c r="G35" s="95"/>
      <c r="H35" s="175"/>
      <c r="I35" s="130"/>
      <c r="J35" s="34" t="str">
        <f>J30</f>
        <v>Liczba operacji nastawiona na innowacje</v>
      </c>
      <c r="K35" s="40">
        <v>3</v>
      </c>
      <c r="L35" s="84"/>
      <c r="M35" s="74"/>
    </row>
    <row r="36" spans="1:13" ht="27" customHeight="1" x14ac:dyDescent="0.3">
      <c r="A36" s="160"/>
      <c r="B36" s="160"/>
      <c r="C36" s="160"/>
      <c r="D36" s="160"/>
      <c r="E36" s="95"/>
      <c r="F36" s="95"/>
      <c r="G36" s="95"/>
      <c r="H36" s="175"/>
      <c r="I36" s="130"/>
      <c r="J36" s="42" t="s">
        <v>61</v>
      </c>
      <c r="K36" s="42">
        <v>4</v>
      </c>
      <c r="L36" s="84"/>
      <c r="M36" s="74"/>
    </row>
    <row r="37" spans="1:13" ht="15.6" customHeight="1" x14ac:dyDescent="0.3">
      <c r="A37" s="159" t="s">
        <v>27</v>
      </c>
      <c r="B37" s="159"/>
      <c r="C37" s="159"/>
      <c r="D37" s="159"/>
      <c r="E37" s="20">
        <f>SUM(E23,E29:E31)</f>
        <v>125161.29032258065</v>
      </c>
      <c r="F37" s="20">
        <f>SUM(F23,F29:F31)</f>
        <v>582000</v>
      </c>
      <c r="G37" s="10"/>
      <c r="H37" s="9"/>
      <c r="I37" s="9"/>
      <c r="J37" s="15"/>
      <c r="K37" s="16"/>
      <c r="L37" s="15"/>
      <c r="M37" s="17"/>
    </row>
    <row r="38" spans="1:13" ht="16.2" customHeight="1" x14ac:dyDescent="0.3">
      <c r="A38" s="168" t="s">
        <v>28</v>
      </c>
      <c r="B38" s="168"/>
      <c r="C38" s="168"/>
      <c r="D38" s="168"/>
      <c r="E38" s="19">
        <f>SUM(E26,E34)</f>
        <v>1237976.52</v>
      </c>
      <c r="F38" s="19">
        <f>SUM(F26,F34)</f>
        <v>5756590.8180000009</v>
      </c>
      <c r="G38" s="10"/>
      <c r="H38" s="9"/>
      <c r="I38" s="9"/>
      <c r="J38" s="15"/>
      <c r="K38" s="16"/>
      <c r="L38" s="15"/>
      <c r="M38" s="17"/>
    </row>
    <row r="39" spans="1:13" ht="16.2" customHeight="1" x14ac:dyDescent="0.3">
      <c r="A39" s="166" t="s">
        <v>34</v>
      </c>
      <c r="B39" s="166"/>
      <c r="C39" s="166"/>
      <c r="D39" s="166"/>
      <c r="E39" s="18">
        <f>SUM(E37:E38)</f>
        <v>1363137.8103225806</v>
      </c>
      <c r="F39" s="18">
        <f>SUM(F37:F38)</f>
        <v>6338590.8180000009</v>
      </c>
      <c r="G39" s="10"/>
      <c r="H39" s="9"/>
      <c r="I39" s="9"/>
      <c r="J39" s="15"/>
      <c r="K39" s="16"/>
      <c r="L39" s="15"/>
      <c r="M39" s="17"/>
    </row>
    <row r="40" spans="1:13" x14ac:dyDescent="0.3">
      <c r="A40" s="161" t="s">
        <v>13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3"/>
    </row>
    <row r="41" spans="1:13" ht="36" customHeight="1" x14ac:dyDescent="0.3">
      <c r="A41" s="164" t="s">
        <v>76</v>
      </c>
      <c r="B41" s="164" t="s">
        <v>11</v>
      </c>
      <c r="C41" s="164" t="s">
        <v>7</v>
      </c>
      <c r="D41" s="164" t="s">
        <v>84</v>
      </c>
      <c r="E41" s="91">
        <v>324430.96999999997</v>
      </c>
      <c r="F41" s="91">
        <f>E41*4.6</f>
        <v>1492382.4619999998</v>
      </c>
      <c r="G41" s="91">
        <f>E41/6</f>
        <v>54071.828333333331</v>
      </c>
      <c r="H41" s="91">
        <f>F41/6</f>
        <v>248730.4103333333</v>
      </c>
      <c r="I41" s="91">
        <v>85</v>
      </c>
      <c r="J41" s="36" t="s">
        <v>21</v>
      </c>
      <c r="K41" s="36">
        <v>60</v>
      </c>
      <c r="L41" s="96" t="s">
        <v>78</v>
      </c>
      <c r="M41" s="98">
        <v>80</v>
      </c>
    </row>
    <row r="42" spans="1:13" ht="18.600000000000001" customHeight="1" x14ac:dyDescent="0.3">
      <c r="A42" s="165"/>
      <c r="B42" s="165"/>
      <c r="C42" s="165"/>
      <c r="D42" s="165"/>
      <c r="E42" s="92"/>
      <c r="F42" s="92"/>
      <c r="G42" s="92"/>
      <c r="H42" s="92"/>
      <c r="I42" s="92"/>
      <c r="J42" s="33" t="str">
        <f>J45</f>
        <v>Liczba operacji nastawiona na innowacje</v>
      </c>
      <c r="K42" s="33">
        <v>3</v>
      </c>
      <c r="L42" s="110"/>
      <c r="M42" s="99"/>
    </row>
    <row r="43" spans="1:13" ht="24" x14ac:dyDescent="0.3">
      <c r="A43" s="165"/>
      <c r="B43" s="165"/>
      <c r="C43" s="165"/>
      <c r="D43" s="165"/>
      <c r="E43" s="92"/>
      <c r="F43" s="92"/>
      <c r="G43" s="92"/>
      <c r="H43" s="92"/>
      <c r="I43" s="92"/>
      <c r="J43" s="36" t="s">
        <v>22</v>
      </c>
      <c r="K43" s="36">
        <v>6</v>
      </c>
      <c r="L43" s="110"/>
      <c r="M43" s="99"/>
    </row>
    <row r="44" spans="1:13" ht="24" x14ac:dyDescent="0.3">
      <c r="A44" s="164" t="s">
        <v>77</v>
      </c>
      <c r="B44" s="164" t="s">
        <v>11</v>
      </c>
      <c r="C44" s="164" t="s">
        <v>10</v>
      </c>
      <c r="D44" s="164" t="s">
        <v>84</v>
      </c>
      <c r="E44" s="91">
        <v>648861.93000000005</v>
      </c>
      <c r="F44" s="91">
        <f>E44*4.6</f>
        <v>2984764.878</v>
      </c>
      <c r="G44" s="91">
        <f>E44/6</f>
        <v>108143.65500000001</v>
      </c>
      <c r="H44" s="91">
        <f>F44/6</f>
        <v>497460.81300000002</v>
      </c>
      <c r="I44" s="91">
        <v>85</v>
      </c>
      <c r="J44" s="36" t="s">
        <v>19</v>
      </c>
      <c r="K44" s="60">
        <v>80</v>
      </c>
      <c r="L44" s="96" t="s">
        <v>95</v>
      </c>
      <c r="M44" s="96">
        <v>6</v>
      </c>
    </row>
    <row r="45" spans="1:13" x14ac:dyDescent="0.3">
      <c r="A45" s="165"/>
      <c r="B45" s="165"/>
      <c r="C45" s="165"/>
      <c r="D45" s="165"/>
      <c r="E45" s="92"/>
      <c r="F45" s="92"/>
      <c r="G45" s="92"/>
      <c r="H45" s="92"/>
      <c r="I45" s="92"/>
      <c r="J45" s="33" t="s">
        <v>25</v>
      </c>
      <c r="K45" s="33">
        <v>3</v>
      </c>
      <c r="L45" s="110"/>
      <c r="M45" s="110"/>
    </row>
    <row r="46" spans="1:13" ht="24" customHeight="1" x14ac:dyDescent="0.3">
      <c r="A46" s="167"/>
      <c r="B46" s="167"/>
      <c r="C46" s="167"/>
      <c r="D46" s="167"/>
      <c r="E46" s="93"/>
      <c r="F46" s="93"/>
      <c r="G46" s="93"/>
      <c r="H46" s="93"/>
      <c r="I46" s="93"/>
      <c r="J46" s="36" t="s">
        <v>20</v>
      </c>
      <c r="K46" s="36">
        <v>40</v>
      </c>
      <c r="L46" s="97"/>
      <c r="M46" s="97"/>
    </row>
    <row r="47" spans="1:13" ht="24" customHeight="1" x14ac:dyDescent="0.3">
      <c r="A47" s="125" t="s">
        <v>72</v>
      </c>
      <c r="B47" s="125" t="s">
        <v>6</v>
      </c>
      <c r="C47" s="125" t="s">
        <v>59</v>
      </c>
      <c r="D47" s="125" t="s">
        <v>85</v>
      </c>
      <c r="E47" s="79">
        <f>65000+17136.75</f>
        <v>82136.75</v>
      </c>
      <c r="F47" s="79">
        <f>E47*4.6</f>
        <v>377829.05</v>
      </c>
      <c r="G47" s="79">
        <f>E47/6</f>
        <v>13689.458333333334</v>
      </c>
      <c r="H47" s="79">
        <f>F47/6</f>
        <v>62971.508333333331</v>
      </c>
      <c r="I47" s="79" t="str">
        <f>I49</f>
        <v>100 / 75</v>
      </c>
      <c r="J47" s="49" t="s">
        <v>70</v>
      </c>
      <c r="K47" s="33">
        <v>6</v>
      </c>
      <c r="L47" s="94" t="s">
        <v>53</v>
      </c>
      <c r="M47" s="94">
        <f>30*6</f>
        <v>180</v>
      </c>
    </row>
    <row r="48" spans="1:13" ht="24" customHeight="1" x14ac:dyDescent="0.3">
      <c r="A48" s="126"/>
      <c r="B48" s="126"/>
      <c r="C48" s="126"/>
      <c r="D48" s="126"/>
      <c r="E48" s="80"/>
      <c r="F48" s="80"/>
      <c r="G48" s="80"/>
      <c r="H48" s="80"/>
      <c r="I48" s="80"/>
      <c r="J48" s="54" t="str">
        <f>J24</f>
        <v>Liczba operacji poprawiających dostęp do usług lub infrastruktury seniorom lub osobom w niekorzystnej sytuacji</v>
      </c>
      <c r="K48" s="33">
        <v>6</v>
      </c>
      <c r="L48" s="94"/>
      <c r="M48" s="94"/>
    </row>
    <row r="49" spans="1:13" ht="24" customHeight="1" x14ac:dyDescent="0.3">
      <c r="A49" s="136" t="s">
        <v>63</v>
      </c>
      <c r="B49" s="136" t="s">
        <v>6</v>
      </c>
      <c r="C49" s="136" t="s">
        <v>43</v>
      </c>
      <c r="D49" s="136" t="s">
        <v>85</v>
      </c>
      <c r="E49" s="95">
        <f>75000+17136.75</f>
        <v>92136.75</v>
      </c>
      <c r="F49" s="95">
        <f>E49*4.65</f>
        <v>428435.88750000001</v>
      </c>
      <c r="G49" s="95">
        <f>E49/6</f>
        <v>15356.125</v>
      </c>
      <c r="H49" s="134">
        <f>F49/6</f>
        <v>71405.981249999997</v>
      </c>
      <c r="I49" s="134" t="s">
        <v>49</v>
      </c>
      <c r="J49" s="54" t="s">
        <v>97</v>
      </c>
      <c r="K49" s="33">
        <v>6</v>
      </c>
      <c r="L49" s="84" t="str">
        <f>L47</f>
        <v>Łączenie obszarów wiejskich w Europie: odsetek ludności wiejskiej korzystającej z lepszego dostępu do usług i infrastruktury dzięki wsparciu z WPR (liczba osób)</v>
      </c>
      <c r="M49" s="74">
        <f>20*6</f>
        <v>120</v>
      </c>
    </row>
    <row r="50" spans="1:13" ht="29.4" customHeight="1" x14ac:dyDescent="0.3">
      <c r="A50" s="136"/>
      <c r="B50" s="136"/>
      <c r="C50" s="136"/>
      <c r="D50" s="136"/>
      <c r="E50" s="95"/>
      <c r="F50" s="95"/>
      <c r="G50" s="95"/>
      <c r="H50" s="134"/>
      <c r="I50" s="134"/>
      <c r="J50" s="40" t="s">
        <v>71</v>
      </c>
      <c r="K50" s="40">
        <v>6</v>
      </c>
      <c r="L50" s="84"/>
      <c r="M50" s="74"/>
    </row>
    <row r="51" spans="1:13" ht="35.4" customHeight="1" x14ac:dyDescent="0.3">
      <c r="A51" s="136"/>
      <c r="B51" s="136"/>
      <c r="C51" s="136"/>
      <c r="D51" s="136"/>
      <c r="E51" s="95"/>
      <c r="F51" s="95"/>
      <c r="G51" s="95"/>
      <c r="H51" s="134"/>
      <c r="I51" s="134"/>
      <c r="J51" s="40" t="str">
        <f>J5</f>
        <v>Liczba operacji poprawiających dostęp do usług lub infrastruktury seniorom, osobom młodym lub osobom w niekorzystnej sytuacji</v>
      </c>
      <c r="K51" s="40">
        <v>6</v>
      </c>
      <c r="L51" s="85"/>
      <c r="M51" s="86"/>
    </row>
    <row r="52" spans="1:13" ht="34.200000000000003" customHeight="1" x14ac:dyDescent="0.3">
      <c r="A52" s="136" t="s">
        <v>39</v>
      </c>
      <c r="B52" s="136" t="s">
        <v>6</v>
      </c>
      <c r="C52" s="125" t="s">
        <v>58</v>
      </c>
      <c r="D52" s="125" t="s">
        <v>84</v>
      </c>
      <c r="E52" s="79">
        <v>32000</v>
      </c>
      <c r="F52" s="79">
        <f>E52*4.65</f>
        <v>148800</v>
      </c>
      <c r="G52" s="79">
        <f>E52/6</f>
        <v>5333.333333333333</v>
      </c>
      <c r="H52" s="87">
        <f>F52/6</f>
        <v>24800</v>
      </c>
      <c r="I52" s="87">
        <v>100</v>
      </c>
      <c r="J52" s="40" t="s">
        <v>38</v>
      </c>
      <c r="K52" s="41">
        <v>6</v>
      </c>
      <c r="L52" s="90" t="s">
        <v>103</v>
      </c>
      <c r="M52" s="73">
        <f>5*6</f>
        <v>30</v>
      </c>
    </row>
    <row r="53" spans="1:13" ht="33" customHeight="1" x14ac:dyDescent="0.3">
      <c r="A53" s="136"/>
      <c r="B53" s="136"/>
      <c r="C53" s="126"/>
      <c r="D53" s="126"/>
      <c r="E53" s="80"/>
      <c r="F53" s="80"/>
      <c r="G53" s="80"/>
      <c r="H53" s="88"/>
      <c r="I53" s="88"/>
      <c r="J53" s="40" t="s">
        <v>79</v>
      </c>
      <c r="K53" s="41">
        <v>3</v>
      </c>
      <c r="L53" s="84"/>
      <c r="M53" s="74"/>
    </row>
    <row r="54" spans="1:13" ht="43.2" customHeight="1" x14ac:dyDescent="0.3">
      <c r="A54" s="136"/>
      <c r="B54" s="136"/>
      <c r="C54" s="127"/>
      <c r="D54" s="127"/>
      <c r="E54" s="83"/>
      <c r="F54" s="83"/>
      <c r="G54" s="83"/>
      <c r="H54" s="89"/>
      <c r="I54" s="89"/>
      <c r="J54" s="40" t="str">
        <f>J5</f>
        <v>Liczba operacji poprawiających dostęp do usług lub infrastruktury seniorom, osobom młodym lub osobom w niekorzystnej sytuacji</v>
      </c>
      <c r="K54" s="41">
        <v>3</v>
      </c>
      <c r="L54" s="85"/>
      <c r="M54" s="86"/>
    </row>
    <row r="55" spans="1:13" ht="36" customHeight="1" x14ac:dyDescent="0.3">
      <c r="A55" s="136" t="s">
        <v>73</v>
      </c>
      <c r="B55" s="136" t="s">
        <v>6</v>
      </c>
      <c r="C55" s="148" t="s">
        <v>74</v>
      </c>
      <c r="D55" s="136" t="s">
        <v>84</v>
      </c>
      <c r="E55" s="79">
        <v>22000</v>
      </c>
      <c r="F55" s="87">
        <f>E55*4.65</f>
        <v>102300.00000000001</v>
      </c>
      <c r="G55" s="79">
        <f>E55</f>
        <v>22000</v>
      </c>
      <c r="H55" s="87">
        <f>E55*4.65</f>
        <v>102300.00000000001</v>
      </c>
      <c r="I55" s="87">
        <v>100</v>
      </c>
      <c r="J55" s="40" t="s">
        <v>94</v>
      </c>
      <c r="K55" s="41">
        <v>1</v>
      </c>
      <c r="L55" s="90" t="s">
        <v>103</v>
      </c>
      <c r="M55" s="73">
        <v>10</v>
      </c>
    </row>
    <row r="56" spans="1:13" ht="39.6" customHeight="1" x14ac:dyDescent="0.3">
      <c r="A56" s="136"/>
      <c r="B56" s="136"/>
      <c r="C56" s="148"/>
      <c r="D56" s="136"/>
      <c r="E56" s="80"/>
      <c r="F56" s="88"/>
      <c r="G56" s="80"/>
      <c r="H56" s="88"/>
      <c r="I56" s="88"/>
      <c r="J56" s="40" t="s">
        <v>90</v>
      </c>
      <c r="K56" s="41">
        <v>1</v>
      </c>
      <c r="L56" s="84"/>
      <c r="M56" s="74"/>
    </row>
    <row r="57" spans="1:13" ht="33.6" customHeight="1" x14ac:dyDescent="0.3">
      <c r="A57" s="136"/>
      <c r="B57" s="136"/>
      <c r="C57" s="148"/>
      <c r="D57" s="136"/>
      <c r="E57" s="83"/>
      <c r="F57" s="89"/>
      <c r="G57" s="83"/>
      <c r="H57" s="89"/>
      <c r="I57" s="89"/>
      <c r="J57" s="40" t="str">
        <f>J50</f>
        <v>Liczba operacji polegających na włączeniu społecznym lub cyfrowym młodzieży</v>
      </c>
      <c r="K57" s="41">
        <v>1</v>
      </c>
      <c r="L57" s="85"/>
      <c r="M57" s="86"/>
    </row>
    <row r="58" spans="1:13" x14ac:dyDescent="0.3">
      <c r="A58" s="139" t="s">
        <v>31</v>
      </c>
      <c r="B58" s="140"/>
      <c r="C58" s="140"/>
      <c r="D58" s="141"/>
      <c r="E58" s="28">
        <f>SUM(E47:E55)</f>
        <v>228273.5</v>
      </c>
      <c r="F58" s="28">
        <f>SUM(F47:F55)</f>
        <v>1057364.9375</v>
      </c>
      <c r="G58" s="3"/>
      <c r="H58" s="4"/>
      <c r="I58" s="4"/>
      <c r="J58" s="7"/>
      <c r="K58" s="7"/>
      <c r="L58" s="7"/>
      <c r="M58" s="6"/>
    </row>
    <row r="59" spans="1:13" x14ac:dyDescent="0.3">
      <c r="A59" s="142" t="s">
        <v>32</v>
      </c>
      <c r="B59" s="143"/>
      <c r="C59" s="143"/>
      <c r="D59" s="144"/>
      <c r="E59" s="29">
        <f>SUM(E41:E46)</f>
        <v>973292.9</v>
      </c>
      <c r="F59" s="29">
        <f>SUM(F41:F46)</f>
        <v>4477147.34</v>
      </c>
      <c r="G59" s="3"/>
      <c r="H59" s="4"/>
      <c r="I59" s="4"/>
      <c r="J59" s="7"/>
      <c r="K59" s="7"/>
      <c r="L59" s="7"/>
      <c r="M59" s="6"/>
    </row>
    <row r="60" spans="1:13" x14ac:dyDescent="0.3">
      <c r="A60" s="145" t="s">
        <v>35</v>
      </c>
      <c r="B60" s="146"/>
      <c r="C60" s="146"/>
      <c r="D60" s="147"/>
      <c r="E60" s="30">
        <f>SUM(E58:E59)</f>
        <v>1201566.3999999999</v>
      </c>
      <c r="F60" s="30">
        <f>SUM(F58:F59)</f>
        <v>5534512.2774999999</v>
      </c>
      <c r="G60" s="21"/>
      <c r="H60" s="22"/>
      <c r="I60" s="22"/>
      <c r="J60" s="23"/>
      <c r="K60" s="23"/>
      <c r="L60" s="23"/>
      <c r="M60" s="24"/>
    </row>
    <row r="61" spans="1:13" x14ac:dyDescent="0.3">
      <c r="A61" s="135" t="s">
        <v>29</v>
      </c>
      <c r="B61" s="135"/>
      <c r="C61" s="135"/>
      <c r="D61" s="135"/>
      <c r="E61" s="25">
        <f>SUM(E19,E37,E58)</f>
        <v>2000000.0003225806</v>
      </c>
      <c r="F61" s="25">
        <f>SUM(F19,F37,F58)</f>
        <v>9213564.9035</v>
      </c>
    </row>
    <row r="62" spans="1:13" x14ac:dyDescent="0.3">
      <c r="A62" s="138" t="s">
        <v>30</v>
      </c>
      <c r="B62" s="138"/>
      <c r="C62" s="138"/>
      <c r="D62" s="138"/>
      <c r="E62" s="26" t="e">
        <f>SUM(E20,E38,E59)</f>
        <v>#REF!</v>
      </c>
      <c r="F62" s="26" t="e">
        <f>SUM(F20,F38,F59)</f>
        <v>#REF!</v>
      </c>
    </row>
    <row r="63" spans="1:13" x14ac:dyDescent="0.3">
      <c r="A63" s="137" t="s">
        <v>36</v>
      </c>
      <c r="B63" s="137"/>
      <c r="C63" s="137"/>
      <c r="D63" s="137"/>
      <c r="E63" s="31" t="e">
        <f>SUM(E61:E62)</f>
        <v>#REF!</v>
      </c>
      <c r="F63" s="31" t="e">
        <f>SUM(F61:F62)</f>
        <v>#REF!</v>
      </c>
    </row>
    <row r="65" spans="1:10" x14ac:dyDescent="0.3">
      <c r="E65" s="1">
        <f>E61-2000000</f>
        <v>3.2258057035505772E-4</v>
      </c>
    </row>
    <row r="67" spans="1:10" x14ac:dyDescent="0.3">
      <c r="A67" s="43"/>
      <c r="B67" s="43"/>
      <c r="C67" s="43"/>
      <c r="F67" s="46" t="e">
        <f>E63+(-E65)</f>
        <v>#REF!</v>
      </c>
    </row>
    <row r="68" spans="1:10" x14ac:dyDescent="0.3">
      <c r="A68" s="43" t="s">
        <v>44</v>
      </c>
      <c r="B68" s="43"/>
      <c r="C68" s="43"/>
    </row>
    <row r="69" spans="1:10" x14ac:dyDescent="0.3">
      <c r="A69" s="44">
        <v>2000000</v>
      </c>
      <c r="B69" s="43"/>
      <c r="C69" s="43"/>
    </row>
    <row r="70" spans="1:10" x14ac:dyDescent="0.3">
      <c r="A70" s="43" t="s">
        <v>45</v>
      </c>
      <c r="B70" s="132" t="s">
        <v>46</v>
      </c>
      <c r="C70" s="132"/>
      <c r="F70">
        <f>150000/4.6</f>
        <v>32608.695652173916</v>
      </c>
    </row>
    <row r="71" spans="1:10" x14ac:dyDescent="0.3">
      <c r="A71" s="44">
        <f>A69*20/100</f>
        <v>400000</v>
      </c>
      <c r="B71" s="131">
        <f>E23</f>
        <v>50000</v>
      </c>
      <c r="C71" s="132"/>
    </row>
    <row r="72" spans="1:10" ht="36" customHeight="1" x14ac:dyDescent="0.3">
      <c r="A72" s="43" t="s">
        <v>47</v>
      </c>
      <c r="B72" s="133" t="s">
        <v>54</v>
      </c>
      <c r="C72" s="133"/>
      <c r="D72" s="32" t="s">
        <v>55</v>
      </c>
    </row>
    <row r="73" spans="1:10" x14ac:dyDescent="0.3">
      <c r="A73" s="44" t="e">
        <f>E63*40/100</f>
        <v>#REF!</v>
      </c>
      <c r="B73" s="131" t="e">
        <f>SUM(E4,E16,#REF!,E47,E49)</f>
        <v>#REF!</v>
      </c>
      <c r="C73" s="132"/>
      <c r="D73" s="1" t="e">
        <f>SUM(E4,E16,#REF!,E47,E49,E52)</f>
        <v>#REF!</v>
      </c>
    </row>
    <row r="74" spans="1:10" x14ac:dyDescent="0.3">
      <c r="A74" s="45">
        <v>0.4</v>
      </c>
      <c r="B74" s="111" t="e">
        <f>B73*100/E63</f>
        <v>#REF!</v>
      </c>
      <c r="C74" s="111"/>
      <c r="D74" s="48" t="e">
        <f>D73*100/E63</f>
        <v>#REF!</v>
      </c>
    </row>
    <row r="76" spans="1:10" x14ac:dyDescent="0.3">
      <c r="J76">
        <v>150000</v>
      </c>
    </row>
    <row r="77" spans="1:10" x14ac:dyDescent="0.3">
      <c r="D77" s="1">
        <f>E14</f>
        <v>163044</v>
      </c>
      <c r="E77" s="1">
        <f t="shared" ref="E77:G77" si="0">F14</f>
        <v>750002.39999999991</v>
      </c>
      <c r="F77" s="1">
        <f t="shared" si="0"/>
        <v>65217.391304347831</v>
      </c>
      <c r="G77" s="1" t="str">
        <f t="shared" si="0"/>
        <v>150 tyś. x 1, 300 tyś. x 2</v>
      </c>
      <c r="H77" s="1">
        <f t="shared" ref="H77" si="1">I11</f>
        <v>65</v>
      </c>
      <c r="J77" s="1">
        <f>E77-J76</f>
        <v>600002.39999999991</v>
      </c>
    </row>
    <row r="78" spans="1:10" x14ac:dyDescent="0.3">
      <c r="J78" s="1">
        <f>J77/500000</f>
        <v>1.2000047999999999</v>
      </c>
    </row>
    <row r="79" spans="1:10" x14ac:dyDescent="0.3">
      <c r="J79">
        <f>J77/2</f>
        <v>300001.19999999995</v>
      </c>
    </row>
    <row r="80" spans="1:10" x14ac:dyDescent="0.3">
      <c r="F80">
        <f>37000*10/100</f>
        <v>3700</v>
      </c>
    </row>
  </sheetData>
  <mergeCells count="196">
    <mergeCell ref="I26:I28"/>
    <mergeCell ref="L31:L33"/>
    <mergeCell ref="L34:L36"/>
    <mergeCell ref="J27:J28"/>
    <mergeCell ref="K27:K28"/>
    <mergeCell ref="H23:H25"/>
    <mergeCell ref="F26:F28"/>
    <mergeCell ref="E26:E28"/>
    <mergeCell ref="D26:D28"/>
    <mergeCell ref="H26:H28"/>
    <mergeCell ref="H29:H30"/>
    <mergeCell ref="L26:L28"/>
    <mergeCell ref="H34:H36"/>
    <mergeCell ref="A39:D39"/>
    <mergeCell ref="A26:A28"/>
    <mergeCell ref="A29:A30"/>
    <mergeCell ref="A41:A43"/>
    <mergeCell ref="A44:A46"/>
    <mergeCell ref="A34:A36"/>
    <mergeCell ref="B34:B36"/>
    <mergeCell ref="D23:D25"/>
    <mergeCell ref="G26:G28"/>
    <mergeCell ref="B41:B43"/>
    <mergeCell ref="D29:D30"/>
    <mergeCell ref="B44:B46"/>
    <mergeCell ref="C44:C46"/>
    <mergeCell ref="D44:D46"/>
    <mergeCell ref="A37:D37"/>
    <mergeCell ref="B31:B33"/>
    <mergeCell ref="G29:G30"/>
    <mergeCell ref="A38:D38"/>
    <mergeCell ref="C31:C33"/>
    <mergeCell ref="D31:D33"/>
    <mergeCell ref="A49:A51"/>
    <mergeCell ref="A40:M40"/>
    <mergeCell ref="E44:E46"/>
    <mergeCell ref="L44:L46"/>
    <mergeCell ref="M44:M46"/>
    <mergeCell ref="M41:M43"/>
    <mergeCell ref="L41:L43"/>
    <mergeCell ref="C41:C43"/>
    <mergeCell ref="D41:D43"/>
    <mergeCell ref="E41:E43"/>
    <mergeCell ref="F41:F43"/>
    <mergeCell ref="I47:I48"/>
    <mergeCell ref="F47:F48"/>
    <mergeCell ref="G47:G48"/>
    <mergeCell ref="A47:A48"/>
    <mergeCell ref="B49:B51"/>
    <mergeCell ref="G41:G43"/>
    <mergeCell ref="H41:H43"/>
    <mergeCell ref="B47:B48"/>
    <mergeCell ref="C47:C48"/>
    <mergeCell ref="D47:D48"/>
    <mergeCell ref="E47:E48"/>
    <mergeCell ref="A8:A10"/>
    <mergeCell ref="G16:G18"/>
    <mergeCell ref="F16:F18"/>
    <mergeCell ref="C26:C28"/>
    <mergeCell ref="A16:A18"/>
    <mergeCell ref="A31:A33"/>
    <mergeCell ref="A4:A7"/>
    <mergeCell ref="E34:E36"/>
    <mergeCell ref="F34:F36"/>
    <mergeCell ref="F11:F13"/>
    <mergeCell ref="A19:D19"/>
    <mergeCell ref="A14:A15"/>
    <mergeCell ref="B14:B15"/>
    <mergeCell ref="C14:C15"/>
    <mergeCell ref="C34:C36"/>
    <mergeCell ref="D34:D36"/>
    <mergeCell ref="E16:E18"/>
    <mergeCell ref="B26:B28"/>
    <mergeCell ref="B29:B30"/>
    <mergeCell ref="C29:C30"/>
    <mergeCell ref="D16:D18"/>
    <mergeCell ref="B16:B18"/>
    <mergeCell ref="F29:F30"/>
    <mergeCell ref="E29:E30"/>
    <mergeCell ref="C55:C57"/>
    <mergeCell ref="D55:D57"/>
    <mergeCell ref="E55:E57"/>
    <mergeCell ref="F55:F57"/>
    <mergeCell ref="A2:M2"/>
    <mergeCell ref="A22:M22"/>
    <mergeCell ref="C8:C10"/>
    <mergeCell ref="A21:D21"/>
    <mergeCell ref="D8:D10"/>
    <mergeCell ref="E8:E10"/>
    <mergeCell ref="F8:F10"/>
    <mergeCell ref="G8:G10"/>
    <mergeCell ref="L4:L7"/>
    <mergeCell ref="B11:B13"/>
    <mergeCell ref="C11:C13"/>
    <mergeCell ref="G11:G13"/>
    <mergeCell ref="H11:H13"/>
    <mergeCell ref="D11:D13"/>
    <mergeCell ref="A11:A13"/>
    <mergeCell ref="C16:C18"/>
    <mergeCell ref="L8:L9"/>
    <mergeCell ref="B4:B7"/>
    <mergeCell ref="C4:C7"/>
    <mergeCell ref="D4:D7"/>
    <mergeCell ref="B70:C70"/>
    <mergeCell ref="B71:C71"/>
    <mergeCell ref="G55:G57"/>
    <mergeCell ref="H55:H57"/>
    <mergeCell ref="F44:F46"/>
    <mergeCell ref="G44:G46"/>
    <mergeCell ref="H44:H46"/>
    <mergeCell ref="H49:H51"/>
    <mergeCell ref="G49:G51"/>
    <mergeCell ref="F49:F51"/>
    <mergeCell ref="E49:E51"/>
    <mergeCell ref="D49:D51"/>
    <mergeCell ref="C49:C51"/>
    <mergeCell ref="A63:D63"/>
    <mergeCell ref="A62:D62"/>
    <mergeCell ref="A58:D58"/>
    <mergeCell ref="A59:D59"/>
    <mergeCell ref="A60:D60"/>
    <mergeCell ref="D52:D54"/>
    <mergeCell ref="C52:C54"/>
    <mergeCell ref="B52:B54"/>
    <mergeCell ref="A52:A54"/>
    <mergeCell ref="A55:A57"/>
    <mergeCell ref="B55:B57"/>
    <mergeCell ref="B74:C74"/>
    <mergeCell ref="I8:I10"/>
    <mergeCell ref="I11:I13"/>
    <mergeCell ref="I29:I30"/>
    <mergeCell ref="I23:I25"/>
    <mergeCell ref="D14:D15"/>
    <mergeCell ref="E14:E15"/>
    <mergeCell ref="F14:F15"/>
    <mergeCell ref="G14:G15"/>
    <mergeCell ref="H14:H15"/>
    <mergeCell ref="I14:I15"/>
    <mergeCell ref="H8:H10"/>
    <mergeCell ref="A20:D20"/>
    <mergeCell ref="A23:A25"/>
    <mergeCell ref="B23:B25"/>
    <mergeCell ref="C23:C25"/>
    <mergeCell ref="E11:E13"/>
    <mergeCell ref="B8:B10"/>
    <mergeCell ref="I34:I36"/>
    <mergeCell ref="B73:C73"/>
    <mergeCell ref="B72:C72"/>
    <mergeCell ref="I49:I51"/>
    <mergeCell ref="I41:I43"/>
    <mergeCell ref="A61:D61"/>
    <mergeCell ref="I55:I57"/>
    <mergeCell ref="L55:L57"/>
    <mergeCell ref="M55:M57"/>
    <mergeCell ref="E31:E33"/>
    <mergeCell ref="F31:F33"/>
    <mergeCell ref="G31:G33"/>
    <mergeCell ref="H31:H33"/>
    <mergeCell ref="I31:I33"/>
    <mergeCell ref="I44:I46"/>
    <mergeCell ref="L47:L48"/>
    <mergeCell ref="M47:M48"/>
    <mergeCell ref="L52:L54"/>
    <mergeCell ref="M52:M54"/>
    <mergeCell ref="I52:I54"/>
    <mergeCell ref="H52:H54"/>
    <mergeCell ref="H47:H48"/>
    <mergeCell ref="G34:G36"/>
    <mergeCell ref="M31:M33"/>
    <mergeCell ref="G52:G54"/>
    <mergeCell ref="F52:F54"/>
    <mergeCell ref="E52:E54"/>
    <mergeCell ref="M34:M36"/>
    <mergeCell ref="L14:L15"/>
    <mergeCell ref="M14:M15"/>
    <mergeCell ref="G4:G7"/>
    <mergeCell ref="L24:L25"/>
    <mergeCell ref="E23:E25"/>
    <mergeCell ref="F23:F25"/>
    <mergeCell ref="G23:G25"/>
    <mergeCell ref="L49:L51"/>
    <mergeCell ref="M49:M51"/>
    <mergeCell ref="M24:M25"/>
    <mergeCell ref="H4:H7"/>
    <mergeCell ref="I4:I7"/>
    <mergeCell ref="I16:I18"/>
    <mergeCell ref="M8:M9"/>
    <mergeCell ref="L11:L12"/>
    <mergeCell ref="M11:M12"/>
    <mergeCell ref="L16:L17"/>
    <mergeCell ref="M16:M17"/>
    <mergeCell ref="M4:M7"/>
    <mergeCell ref="M26:M28"/>
    <mergeCell ref="H16:H18"/>
    <mergeCell ref="E4:E7"/>
    <mergeCell ref="F4:F7"/>
  </mergeCells>
  <pageMargins left="0.7" right="0.7" top="0.75" bottom="0.75" header="0.3" footer="0.3"/>
  <pageSetup paperSize="8" scale="9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Wskaźniki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</dc:creator>
  <cp:lastModifiedBy>EWELINA</cp:lastModifiedBy>
  <cp:lastPrinted>2023-04-27T18:44:14Z</cp:lastPrinted>
  <dcterms:created xsi:type="dcterms:W3CDTF">2023-01-19T12:10:47Z</dcterms:created>
  <dcterms:modified xsi:type="dcterms:W3CDTF">2023-06-06T10:13:27Z</dcterms:modified>
</cp:coreProperties>
</file>